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bookViews>
    <workbookView xWindow="0" yWindow="0" windowWidth="20490" windowHeight="6855"/>
  </bookViews>
  <sheets>
    <sheet name="2" sheetId="2" r:id="rId1"/>
  </sheets>
  <definedNames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G313" i="2" l="1"/>
  <c r="G312" i="2"/>
  <c r="G311" i="2"/>
  <c r="G310" i="2"/>
  <c r="G309" i="2"/>
  <c r="G308" i="2"/>
  <c r="G307" i="2"/>
  <c r="H305" i="2"/>
  <c r="G305" i="2"/>
  <c r="G304" i="2"/>
  <c r="E304" i="2"/>
  <c r="E312" i="2" s="1"/>
  <c r="G303" i="2"/>
  <c r="E303" i="2"/>
  <c r="G302" i="2"/>
  <c r="E302" i="2"/>
  <c r="E305" i="2" s="1"/>
  <c r="G301" i="2"/>
  <c r="E301" i="2"/>
  <c r="G300" i="2"/>
  <c r="E300" i="2"/>
  <c r="G299" i="2"/>
  <c r="E299" i="2"/>
  <c r="E307" i="2" s="1"/>
  <c r="H297" i="2"/>
  <c r="G297" i="2"/>
  <c r="E297" i="2"/>
  <c r="G296" i="2"/>
  <c r="E296" i="2"/>
  <c r="H295" i="2"/>
  <c r="G295" i="2"/>
  <c r="E295" i="2"/>
  <c r="H294" i="2"/>
  <c r="G294" i="2"/>
  <c r="E294" i="2"/>
  <c r="H293" i="2"/>
  <c r="G293" i="2"/>
  <c r="E293" i="2"/>
  <c r="G292" i="2"/>
  <c r="E292" i="2"/>
  <c r="G290" i="2"/>
  <c r="E290" i="2"/>
  <c r="G289" i="2"/>
  <c r="E289" i="2"/>
  <c r="G288" i="2"/>
  <c r="E288" i="2"/>
  <c r="G287" i="2"/>
  <c r="E287" i="2"/>
  <c r="G286" i="2"/>
  <c r="E286" i="2"/>
  <c r="G285" i="2"/>
  <c r="E285" i="2"/>
  <c r="H283" i="2"/>
  <c r="G283" i="2"/>
  <c r="E283" i="2"/>
  <c r="H282" i="2"/>
  <c r="G282" i="2"/>
  <c r="E282" i="2"/>
  <c r="H281" i="2"/>
  <c r="G281" i="2"/>
  <c r="E281" i="2"/>
  <c r="G280" i="2"/>
  <c r="E280" i="2"/>
  <c r="H279" i="2"/>
  <c r="G279" i="2"/>
  <c r="E279" i="2"/>
  <c r="H278" i="2"/>
  <c r="G278" i="2"/>
  <c r="E278" i="2"/>
  <c r="H276" i="2"/>
  <c r="G276" i="2"/>
  <c r="E276" i="2"/>
  <c r="G275" i="2"/>
  <c r="E275" i="2"/>
  <c r="H274" i="2"/>
  <c r="G274" i="2"/>
  <c r="E274" i="2"/>
  <c r="H273" i="2"/>
  <c r="G273" i="2"/>
  <c r="E273" i="2"/>
  <c r="H272" i="2"/>
  <c r="G272" i="2"/>
  <c r="E272" i="2"/>
  <c r="G271" i="2"/>
  <c r="E271" i="2"/>
  <c r="H269" i="2"/>
  <c r="G269" i="2"/>
  <c r="E269" i="2"/>
  <c r="G268" i="2"/>
  <c r="E268" i="2"/>
  <c r="G267" i="2"/>
  <c r="E267" i="2"/>
  <c r="H266" i="2"/>
  <c r="G266" i="2"/>
  <c r="E266" i="2"/>
  <c r="G265" i="2"/>
  <c r="E265" i="2"/>
  <c r="G264" i="2"/>
  <c r="E264" i="2"/>
  <c r="H262" i="2"/>
  <c r="G262" i="2"/>
  <c r="E262" i="2"/>
  <c r="G261" i="2"/>
  <c r="E261" i="2"/>
  <c r="G260" i="2"/>
  <c r="E260" i="2"/>
  <c r="G259" i="2"/>
  <c r="E259" i="2"/>
  <c r="H258" i="2"/>
  <c r="G258" i="2"/>
  <c r="E258" i="2"/>
  <c r="G257" i="2"/>
  <c r="E257" i="2"/>
  <c r="H255" i="2"/>
  <c r="G255" i="2"/>
  <c r="E255" i="2"/>
  <c r="G254" i="2"/>
  <c r="E254" i="2"/>
  <c r="G253" i="2"/>
  <c r="E253" i="2"/>
  <c r="G252" i="2"/>
  <c r="E252" i="2"/>
  <c r="H251" i="2"/>
  <c r="G251" i="2"/>
  <c r="E251" i="2"/>
  <c r="G250" i="2"/>
  <c r="E250" i="2"/>
  <c r="G249" i="2"/>
  <c r="E249" i="2"/>
  <c r="G246" i="2"/>
  <c r="E246" i="2"/>
  <c r="G245" i="2"/>
  <c r="E245" i="2"/>
  <c r="G244" i="2"/>
  <c r="E244" i="2"/>
  <c r="G243" i="2"/>
  <c r="E243" i="2"/>
  <c r="G242" i="2"/>
  <c r="E242" i="2"/>
  <c r="G241" i="2"/>
  <c r="E241" i="2"/>
  <c r="H239" i="2"/>
  <c r="G239" i="2"/>
  <c r="E239" i="2"/>
  <c r="G238" i="2"/>
  <c r="E238" i="2"/>
  <c r="G237" i="2"/>
  <c r="E237" i="2"/>
  <c r="G236" i="2"/>
  <c r="E236" i="2"/>
  <c r="H235" i="2"/>
  <c r="G235" i="2"/>
  <c r="E235" i="2"/>
  <c r="G234" i="2"/>
  <c r="E234" i="2"/>
  <c r="H232" i="2"/>
  <c r="G232" i="2"/>
  <c r="E232" i="2"/>
  <c r="G231" i="2"/>
  <c r="E231" i="2"/>
  <c r="G230" i="2"/>
  <c r="E230" i="2"/>
  <c r="G229" i="2"/>
  <c r="E229" i="2"/>
  <c r="H228" i="2"/>
  <c r="G228" i="2"/>
  <c r="E228" i="2"/>
  <c r="G227" i="2"/>
  <c r="E227" i="2"/>
  <c r="H225" i="2"/>
  <c r="G225" i="2"/>
  <c r="E225" i="2"/>
  <c r="G224" i="2"/>
  <c r="E224" i="2"/>
  <c r="G223" i="2"/>
  <c r="E223" i="2"/>
  <c r="H222" i="2"/>
  <c r="G222" i="2"/>
  <c r="E222" i="2"/>
  <c r="H221" i="2"/>
  <c r="G221" i="2"/>
  <c r="E221" i="2"/>
  <c r="G220" i="2"/>
  <c r="E220" i="2"/>
  <c r="H218" i="2"/>
  <c r="G218" i="2"/>
  <c r="E218" i="2"/>
  <c r="G217" i="2"/>
  <c r="E217" i="2"/>
  <c r="G216" i="2"/>
  <c r="E216" i="2"/>
  <c r="G215" i="2"/>
  <c r="E215" i="2"/>
  <c r="H214" i="2"/>
  <c r="G214" i="2"/>
  <c r="E214" i="2"/>
  <c r="G213" i="2"/>
  <c r="E213" i="2"/>
  <c r="H210" i="2"/>
  <c r="G210" i="2"/>
  <c r="G209" i="2"/>
  <c r="G208" i="2"/>
  <c r="G207" i="2"/>
  <c r="G206" i="2"/>
  <c r="G205" i="2"/>
  <c r="E205" i="2"/>
  <c r="H203" i="2"/>
  <c r="G203" i="2"/>
  <c r="E203" i="2"/>
  <c r="G202" i="2"/>
  <c r="E202" i="2"/>
  <c r="E209" i="2" s="1"/>
  <c r="G201" i="2"/>
  <c r="E201" i="2"/>
  <c r="E208" i="2" s="1"/>
  <c r="H200" i="2"/>
  <c r="G200" i="2"/>
  <c r="E200" i="2"/>
  <c r="E207" i="2" s="1"/>
  <c r="G199" i="2"/>
  <c r="E199" i="2"/>
  <c r="E206" i="2" s="1"/>
  <c r="G198" i="2"/>
  <c r="E198" i="2"/>
  <c r="H196" i="2"/>
  <c r="G196" i="2"/>
  <c r="E196" i="2"/>
  <c r="E210" i="2" s="1"/>
  <c r="G195" i="2"/>
  <c r="E195" i="2"/>
  <c r="G194" i="2"/>
  <c r="E194" i="2"/>
  <c r="G193" i="2"/>
  <c r="E193" i="2"/>
  <c r="G192" i="2"/>
  <c r="E192" i="2"/>
  <c r="G191" i="2"/>
  <c r="E191" i="2"/>
  <c r="H189" i="2"/>
  <c r="G189" i="2"/>
  <c r="E189" i="2"/>
  <c r="G188" i="2"/>
  <c r="E188" i="2"/>
  <c r="G187" i="2"/>
  <c r="E187" i="2"/>
  <c r="G186" i="2"/>
  <c r="E186" i="2"/>
  <c r="H185" i="2"/>
  <c r="G185" i="2"/>
  <c r="E185" i="2"/>
  <c r="G184" i="2"/>
  <c r="E184" i="2"/>
  <c r="H182" i="2"/>
  <c r="G182" i="2"/>
  <c r="E182" i="2"/>
  <c r="G181" i="2"/>
  <c r="E181" i="2"/>
  <c r="G180" i="2"/>
  <c r="E180" i="2"/>
  <c r="G179" i="2"/>
  <c r="E179" i="2"/>
  <c r="H178" i="2"/>
  <c r="G178" i="2"/>
  <c r="E178" i="2"/>
  <c r="G177" i="2"/>
  <c r="E177" i="2"/>
  <c r="H174" i="2"/>
  <c r="G174" i="2"/>
  <c r="E174" i="2"/>
  <c r="G173" i="2"/>
  <c r="E173" i="2"/>
  <c r="G172" i="2"/>
  <c r="E172" i="2"/>
  <c r="G171" i="2"/>
  <c r="E171" i="2"/>
  <c r="G170" i="2"/>
  <c r="E170" i="2"/>
  <c r="G169" i="2"/>
  <c r="E169" i="2"/>
  <c r="G167" i="2"/>
  <c r="E167" i="2"/>
  <c r="G166" i="2"/>
  <c r="E166" i="2"/>
  <c r="G165" i="2"/>
  <c r="E165" i="2"/>
  <c r="G164" i="2"/>
  <c r="E164" i="2"/>
  <c r="G163" i="2"/>
  <c r="E163" i="2"/>
  <c r="G162" i="2"/>
  <c r="E162" i="2"/>
  <c r="H160" i="2"/>
  <c r="G160" i="2"/>
  <c r="E160" i="2"/>
  <c r="H159" i="2"/>
  <c r="G159" i="2"/>
  <c r="E159" i="2"/>
  <c r="H158" i="2"/>
  <c r="G158" i="2"/>
  <c r="E158" i="2"/>
  <c r="G157" i="2"/>
  <c r="E157" i="2"/>
  <c r="H156" i="2"/>
  <c r="G156" i="2"/>
  <c r="E156" i="2"/>
  <c r="H155" i="2"/>
  <c r="G155" i="2"/>
  <c r="E155" i="2"/>
  <c r="H153" i="2"/>
  <c r="G153" i="2"/>
  <c r="E153" i="2"/>
  <c r="G152" i="2"/>
  <c r="E152" i="2"/>
  <c r="H151" i="2"/>
  <c r="G151" i="2"/>
  <c r="E151" i="2"/>
  <c r="G150" i="2"/>
  <c r="E150" i="2"/>
  <c r="H149" i="2"/>
  <c r="G149" i="2"/>
  <c r="E149" i="2"/>
  <c r="G148" i="2"/>
  <c r="E148" i="2"/>
  <c r="H146" i="2"/>
  <c r="G146" i="2"/>
  <c r="E146" i="2"/>
  <c r="G145" i="2"/>
  <c r="E145" i="2"/>
  <c r="H144" i="2"/>
  <c r="G144" i="2"/>
  <c r="E144" i="2"/>
  <c r="G143" i="2"/>
  <c r="E143" i="2"/>
  <c r="H142" i="2"/>
  <c r="G142" i="2"/>
  <c r="E142" i="2"/>
  <c r="G141" i="2"/>
  <c r="E141" i="2"/>
  <c r="H139" i="2"/>
  <c r="G139" i="2"/>
  <c r="E139" i="2"/>
  <c r="G138" i="2"/>
  <c r="E138" i="2"/>
  <c r="H137" i="2"/>
  <c r="G137" i="2"/>
  <c r="E137" i="2"/>
  <c r="G136" i="2"/>
  <c r="E136" i="2"/>
  <c r="G135" i="2"/>
  <c r="E135" i="2"/>
  <c r="G134" i="2"/>
  <c r="E134" i="2"/>
  <c r="H131" i="2"/>
  <c r="G131" i="2"/>
  <c r="E131" i="2"/>
  <c r="G130" i="2"/>
  <c r="E130" i="2"/>
  <c r="G129" i="2"/>
  <c r="E129" i="2"/>
  <c r="G128" i="2"/>
  <c r="E128" i="2"/>
  <c r="G127" i="2"/>
  <c r="E127" i="2"/>
  <c r="G126" i="2"/>
  <c r="E126" i="2"/>
  <c r="H124" i="2"/>
  <c r="G124" i="2"/>
  <c r="E124" i="2"/>
  <c r="G123" i="2"/>
  <c r="E123" i="2"/>
  <c r="G122" i="2"/>
  <c r="E122" i="2"/>
  <c r="G121" i="2"/>
  <c r="E121" i="2"/>
  <c r="H120" i="2"/>
  <c r="G120" i="2"/>
  <c r="E120" i="2"/>
  <c r="G119" i="2"/>
  <c r="E119" i="2"/>
  <c r="H117" i="2"/>
  <c r="G117" i="2"/>
  <c r="E117" i="2"/>
  <c r="G116" i="2"/>
  <c r="E116" i="2"/>
  <c r="H115" i="2"/>
  <c r="G115" i="2"/>
  <c r="E115" i="2"/>
  <c r="G114" i="2"/>
  <c r="E114" i="2"/>
  <c r="H113" i="2"/>
  <c r="G113" i="2"/>
  <c r="E113" i="2"/>
  <c r="G112" i="2"/>
  <c r="E112" i="2"/>
  <c r="H110" i="2"/>
  <c r="G110" i="2"/>
  <c r="E110" i="2"/>
  <c r="G109" i="2"/>
  <c r="E109" i="2"/>
  <c r="G108" i="2"/>
  <c r="E108" i="2"/>
  <c r="G107" i="2"/>
  <c r="E107" i="2"/>
  <c r="H106" i="2"/>
  <c r="G106" i="2"/>
  <c r="E106" i="2"/>
  <c r="G105" i="2"/>
  <c r="E105" i="2"/>
  <c r="H103" i="2"/>
  <c r="G103" i="2"/>
  <c r="E103" i="2"/>
  <c r="G102" i="2"/>
  <c r="E102" i="2"/>
  <c r="H101" i="2"/>
  <c r="G101" i="2"/>
  <c r="E101" i="2"/>
  <c r="G100" i="2"/>
  <c r="E100" i="2"/>
  <c r="G99" i="2"/>
  <c r="E99" i="2"/>
  <c r="G98" i="2"/>
  <c r="E98" i="2"/>
  <c r="H96" i="2"/>
  <c r="G96" i="2"/>
  <c r="E96" i="2"/>
  <c r="G95" i="2"/>
  <c r="E95" i="2"/>
  <c r="G94" i="2"/>
  <c r="E94" i="2"/>
  <c r="H93" i="2"/>
  <c r="G93" i="2"/>
  <c r="E93" i="2"/>
  <c r="G92" i="2"/>
  <c r="E92" i="2"/>
  <c r="G91" i="2"/>
  <c r="E91" i="2"/>
  <c r="H89" i="2"/>
  <c r="G89" i="2"/>
  <c r="E89" i="2"/>
  <c r="G88" i="2"/>
  <c r="E88" i="2"/>
  <c r="H87" i="2"/>
  <c r="G87" i="2"/>
  <c r="E87" i="2"/>
  <c r="G86" i="2"/>
  <c r="E86" i="2"/>
  <c r="H85" i="2"/>
  <c r="G85" i="2"/>
  <c r="E85" i="2"/>
  <c r="G84" i="2"/>
  <c r="E84" i="2"/>
  <c r="H82" i="2"/>
  <c r="G82" i="2"/>
  <c r="E82" i="2"/>
  <c r="G81" i="2"/>
  <c r="E81" i="2"/>
  <c r="H80" i="2"/>
  <c r="G80" i="2"/>
  <c r="E80" i="2"/>
  <c r="G79" i="2"/>
  <c r="E79" i="2"/>
  <c r="H78" i="2"/>
  <c r="G78" i="2"/>
  <c r="E78" i="2"/>
  <c r="G77" i="2"/>
  <c r="E77" i="2"/>
  <c r="H75" i="2"/>
  <c r="G75" i="2"/>
  <c r="E75" i="2"/>
  <c r="G74" i="2"/>
  <c r="E74" i="2"/>
  <c r="H73" i="2"/>
  <c r="G73" i="2"/>
  <c r="E73" i="2"/>
  <c r="G72" i="2"/>
  <c r="E72" i="2"/>
  <c r="G71" i="2"/>
  <c r="E71" i="2"/>
  <c r="G70" i="2"/>
  <c r="E70" i="2"/>
  <c r="H67" i="2"/>
  <c r="G67" i="2"/>
  <c r="G66" i="2"/>
  <c r="G65" i="2"/>
  <c r="E65" i="2"/>
  <c r="G64" i="2"/>
  <c r="G63" i="2"/>
  <c r="G62" i="2"/>
  <c r="H60" i="2"/>
  <c r="G60" i="2"/>
  <c r="E60" i="2"/>
  <c r="E67" i="2" s="1"/>
  <c r="G59" i="2"/>
  <c r="E59" i="2"/>
  <c r="E66" i="2" s="1"/>
  <c r="H58" i="2"/>
  <c r="G58" i="2"/>
  <c r="E58" i="2"/>
  <c r="G57" i="2"/>
  <c r="E57" i="2"/>
  <c r="E64" i="2" s="1"/>
  <c r="H56" i="2"/>
  <c r="G56" i="2"/>
  <c r="E56" i="2"/>
  <c r="E63" i="2" s="1"/>
  <c r="H55" i="2"/>
  <c r="G55" i="2"/>
  <c r="E55" i="2"/>
  <c r="E62" i="2" s="1"/>
  <c r="H53" i="2"/>
  <c r="G53" i="2"/>
  <c r="E53" i="2"/>
  <c r="G52" i="2"/>
  <c r="E52" i="2"/>
  <c r="G51" i="2"/>
  <c r="E51" i="2"/>
  <c r="G50" i="2"/>
  <c r="E50" i="2"/>
  <c r="H49" i="2"/>
  <c r="G49" i="2"/>
  <c r="E49" i="2"/>
  <c r="H48" i="2"/>
  <c r="G48" i="2"/>
  <c r="E48" i="2"/>
  <c r="H46" i="2"/>
  <c r="G46" i="2"/>
  <c r="E46" i="2"/>
  <c r="G45" i="2"/>
  <c r="E45" i="2"/>
  <c r="G44" i="2"/>
  <c r="E44" i="2"/>
  <c r="H43" i="2"/>
  <c r="G43" i="2"/>
  <c r="E43" i="2"/>
  <c r="G42" i="2"/>
  <c r="E42" i="2"/>
  <c r="G41" i="2"/>
  <c r="E41" i="2"/>
  <c r="H39" i="2"/>
  <c r="G39" i="2"/>
  <c r="E39" i="2"/>
  <c r="G38" i="2"/>
  <c r="E38" i="2"/>
  <c r="G37" i="2"/>
  <c r="E37" i="2"/>
  <c r="H36" i="2"/>
  <c r="G36" i="2"/>
  <c r="E36" i="2"/>
  <c r="G35" i="2"/>
  <c r="E35" i="2"/>
  <c r="G34" i="2"/>
  <c r="E34" i="2"/>
  <c r="H32" i="2"/>
  <c r="G32" i="2"/>
  <c r="E32" i="2"/>
  <c r="G31" i="2"/>
  <c r="E31" i="2"/>
  <c r="H30" i="2"/>
  <c r="G30" i="2"/>
  <c r="E30" i="2"/>
  <c r="H29" i="2"/>
  <c r="G29" i="2"/>
  <c r="E29" i="2"/>
  <c r="H28" i="2"/>
  <c r="G28" i="2"/>
  <c r="E28" i="2"/>
  <c r="G27" i="2"/>
  <c r="E27" i="2"/>
  <c r="H25" i="2"/>
  <c r="G25" i="2"/>
  <c r="E25" i="2"/>
  <c r="H24" i="2"/>
  <c r="G24" i="2"/>
  <c r="E24" i="2"/>
  <c r="G23" i="2"/>
  <c r="E23" i="2"/>
  <c r="G22" i="2"/>
  <c r="E22" i="2"/>
  <c r="H21" i="2"/>
  <c r="G21" i="2"/>
  <c r="E21" i="2"/>
  <c r="G20" i="2"/>
  <c r="E20" i="2"/>
  <c r="H18" i="2"/>
  <c r="G18" i="2"/>
  <c r="E18" i="2"/>
  <c r="G17" i="2"/>
  <c r="E17" i="2"/>
  <c r="G16" i="2"/>
  <c r="E16" i="2"/>
  <c r="G15" i="2"/>
  <c r="E15" i="2"/>
  <c r="H14" i="2"/>
  <c r="G14" i="2"/>
  <c r="E14" i="2"/>
  <c r="G13" i="2"/>
  <c r="E13" i="2"/>
  <c r="E308" i="2" l="1"/>
  <c r="E313" i="2"/>
  <c r="E309" i="2"/>
  <c r="E311" i="2"/>
  <c r="E310" i="2"/>
</calcChain>
</file>

<file path=xl/sharedStrings.xml><?xml version="1.0" encoding="utf-8"?>
<sst xmlns="http://schemas.openxmlformats.org/spreadsheetml/2006/main" count="631" uniqueCount="126">
  <si>
    <t>STATE / REGION/ UNION TERRITORY</t>
  </si>
  <si>
    <t>Northern Region</t>
  </si>
  <si>
    <t>Chandigarh(U.T.)</t>
  </si>
  <si>
    <t>Delhi</t>
  </si>
  <si>
    <t xml:space="preserve"> </t>
  </si>
  <si>
    <t>Haryana</t>
  </si>
  <si>
    <t>Punjab</t>
  </si>
  <si>
    <t>Rajasthan</t>
  </si>
  <si>
    <t>North-Eastern Region</t>
  </si>
  <si>
    <t>Assam</t>
  </si>
  <si>
    <t>Manipur</t>
  </si>
  <si>
    <t>Meghalaya</t>
  </si>
  <si>
    <t>Mizoram</t>
  </si>
  <si>
    <t>Nagaland</t>
  </si>
  <si>
    <t>Tripura</t>
  </si>
  <si>
    <t>Sikkim</t>
  </si>
  <si>
    <t>Eastern Region</t>
  </si>
  <si>
    <t>Bihar</t>
  </si>
  <si>
    <t>Jharkhand</t>
  </si>
  <si>
    <t>West Bengal</t>
  </si>
  <si>
    <t>Central Region</t>
  </si>
  <si>
    <t>Madhya Pradesh</t>
  </si>
  <si>
    <t>Chhattisgarh</t>
  </si>
  <si>
    <t>Uttar Pradesh</t>
  </si>
  <si>
    <t>Uttarakhand</t>
  </si>
  <si>
    <t>Western Region</t>
  </si>
  <si>
    <t>Goa</t>
  </si>
  <si>
    <t>Gujarat</t>
  </si>
  <si>
    <t>Maharashtra</t>
  </si>
  <si>
    <t>Southern Region</t>
  </si>
  <si>
    <t>Andhra Pradesh</t>
  </si>
  <si>
    <t>Karnataka</t>
  </si>
  <si>
    <t>Kerala</t>
  </si>
  <si>
    <t>Tamil Nadu</t>
  </si>
  <si>
    <t>Lakshadweep</t>
  </si>
  <si>
    <t>Telangana</t>
  </si>
  <si>
    <t>.</t>
  </si>
  <si>
    <t>Grand Total</t>
  </si>
  <si>
    <t>SCARDBs</t>
  </si>
  <si>
    <t>CBs</t>
  </si>
  <si>
    <t>SCBs</t>
  </si>
  <si>
    <t>RRBs</t>
  </si>
  <si>
    <t>APSCB(LT)</t>
  </si>
  <si>
    <t>STATEMENT - 2</t>
  </si>
  <si>
    <t>Financial Assistance</t>
  </si>
  <si>
    <t>National  Bank's Commitment</t>
  </si>
  <si>
    <t xml:space="preserve">राज्य / क्षेत्र/ केंद्र शासित प्रदेश </t>
  </si>
  <si>
    <t xml:space="preserve">वित्तीय सहायता </t>
  </si>
  <si>
    <t xml:space="preserve">राष्ट्रीय बैंक की प्रतिबद्धता </t>
  </si>
  <si>
    <t xml:space="preserve">उत्तरी  क्षेत्र </t>
  </si>
  <si>
    <t>चंडीगढ़ (यूटी)</t>
  </si>
  <si>
    <t xml:space="preserve">दिल्ली </t>
  </si>
  <si>
    <t xml:space="preserve">हरियाणा </t>
  </si>
  <si>
    <t xml:space="preserve">हिमाचल प्रदेश </t>
  </si>
  <si>
    <t xml:space="preserve">पंजाब </t>
  </si>
  <si>
    <t xml:space="preserve">राजस्थान </t>
  </si>
  <si>
    <t xml:space="preserve">पूर्वोत्तर क्षेत्र </t>
  </si>
  <si>
    <t xml:space="preserve">अरुणाचल प्रदेश </t>
  </si>
  <si>
    <t>असम</t>
  </si>
  <si>
    <t xml:space="preserve">मणिपुर </t>
  </si>
  <si>
    <t xml:space="preserve">मेघालय </t>
  </si>
  <si>
    <t xml:space="preserve">मिजोरम </t>
  </si>
  <si>
    <t xml:space="preserve">नागालैंड </t>
  </si>
  <si>
    <t xml:space="preserve">त्रिपुरा </t>
  </si>
  <si>
    <t xml:space="preserve">सिक्किम </t>
  </si>
  <si>
    <t xml:space="preserve">पूर्वी क्षेत्र </t>
  </si>
  <si>
    <t xml:space="preserve">बिहार </t>
  </si>
  <si>
    <t xml:space="preserve">झारखंड </t>
  </si>
  <si>
    <t>ओडिशा</t>
  </si>
  <si>
    <t xml:space="preserve">प बंगाल </t>
  </si>
  <si>
    <t xml:space="preserve">मध्यवर्ती क्षेत्र </t>
  </si>
  <si>
    <t xml:space="preserve">मध्यप्रदेश </t>
  </si>
  <si>
    <t xml:space="preserve">छत्तीसगढ़ </t>
  </si>
  <si>
    <t xml:space="preserve">उत्तरप्रदेश </t>
  </si>
  <si>
    <t xml:space="preserve">उत्तराखंड </t>
  </si>
  <si>
    <t xml:space="preserve">पश्चिम क्षेत्र </t>
  </si>
  <si>
    <t xml:space="preserve">गोवा </t>
  </si>
  <si>
    <t xml:space="preserve">गुजरात </t>
  </si>
  <si>
    <t xml:space="preserve">महाराष्ट्र </t>
  </si>
  <si>
    <t xml:space="preserve">पश्चिमी क्षेत्र </t>
  </si>
  <si>
    <t xml:space="preserve">दक्षिणी क्षेत्र </t>
  </si>
  <si>
    <t xml:space="preserve">आन्ध्रप्रदेश </t>
  </si>
  <si>
    <t xml:space="preserve">कर्नाटक </t>
  </si>
  <si>
    <t>केरल</t>
  </si>
  <si>
    <t xml:space="preserve">पुडुचेरी </t>
  </si>
  <si>
    <t>तमिलनाडु</t>
  </si>
  <si>
    <t xml:space="preserve">लक्षद्वीप </t>
  </si>
  <si>
    <t xml:space="preserve">तेलंगाना </t>
  </si>
  <si>
    <t xml:space="preserve">सकल योग </t>
  </si>
  <si>
    <t xml:space="preserve">एससीएआरडीबी </t>
  </si>
  <si>
    <t xml:space="preserve">वाणिज्य बैंक </t>
  </si>
  <si>
    <t xml:space="preserve">रास बैंक </t>
  </si>
  <si>
    <t xml:space="preserve">क्षेग्रा बैंक </t>
  </si>
  <si>
    <t>कुल</t>
  </si>
  <si>
    <t>एपीएससीबी(एलटी)</t>
  </si>
  <si>
    <t xml:space="preserve">कुल </t>
  </si>
  <si>
    <t>कुल योग में यदि कोई अंतर है तो यह पूर्णांकित किए जाने की वजह से है .</t>
  </si>
  <si>
    <t>Total</t>
  </si>
  <si>
    <t>विवरण - 2</t>
  </si>
  <si>
    <t>Odisha</t>
  </si>
  <si>
    <t>Puducherry</t>
  </si>
  <si>
    <t>एजेंसी / Agency</t>
  </si>
  <si>
    <t>Himachal Pradesh</t>
  </si>
  <si>
    <t xml:space="preserve">जम्मू और कश्मीर  </t>
  </si>
  <si>
    <t>Jammu &amp; Kashmir</t>
  </si>
  <si>
    <t>उत्तरी क्षेत्र</t>
  </si>
  <si>
    <t>Arunachal Pradesh</t>
  </si>
  <si>
    <t>Andaman &amp; Nicobar Islds.</t>
  </si>
  <si>
    <t xml:space="preserve">अंडमान और निकोबार द्वीपसमूह  </t>
  </si>
  <si>
    <t xml:space="preserve">दमन-दिऊ और दादरा-नगर हवेली   </t>
  </si>
  <si>
    <t>Daman-Diu &amp; Dadra Nagar Haveli</t>
  </si>
  <si>
    <t>Difference in Total, if any, is on account of rounding off.</t>
  </si>
  <si>
    <r>
      <t>(</t>
    </r>
    <r>
      <rPr>
        <sz val="11"/>
        <rFont val="Rupee Foradian"/>
        <family val="2"/>
      </rPr>
      <t>`</t>
    </r>
    <r>
      <rPr>
        <sz val="11"/>
        <rFont val="Georgia"/>
        <family val="1"/>
      </rPr>
      <t xml:space="preserve"> करोड़)</t>
    </r>
  </si>
  <si>
    <r>
      <t>(</t>
    </r>
    <r>
      <rPr>
        <sz val="11"/>
        <rFont val="Rupee Foradian"/>
        <family val="2"/>
      </rPr>
      <t>`</t>
    </r>
    <r>
      <rPr>
        <sz val="11"/>
        <rFont val="Georgia"/>
        <family val="1"/>
      </rPr>
      <t xml:space="preserve"> Crore)</t>
    </r>
  </si>
  <si>
    <t xml:space="preserve">2021-22 के दौरान संवितरण </t>
  </si>
  <si>
    <t xml:space="preserve"> 31 मार्च  2022 तक संचयी संवितरण </t>
  </si>
  <si>
    <t>Disbursement during  2021-22</t>
  </si>
  <si>
    <t>Cumulative disbursement upto 31 March 2022</t>
  </si>
  <si>
    <t>NBFC/MFI/Subsidiary</t>
  </si>
  <si>
    <t>राज्य सरकार</t>
  </si>
  <si>
    <t>State Govt.</t>
  </si>
  <si>
    <t>और एजेंसी- वार ब्यौरा और 31 मार्च 2022 तक संचयी संवितरण</t>
  </si>
  <si>
    <t>LENDING DURING 2021-22 AND CUMULATIVE DISBURSEMENT UPTO 31 MARCH 2022</t>
  </si>
  <si>
    <t>STATE- WISE AND AGENCY- WISE SANCTION AND DISBURSEMENT UNDER SCHEMATIC</t>
  </si>
  <si>
    <t>2021-22 के दौरान योजनाबद्ध उधार योजना के अंतर्गत मंजूरियों और संवितरणों का राज्य- वार</t>
  </si>
  <si>
    <t>एनबीएफसि/एमएफआइ/सब्सिडियरी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</si>
</sst>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8">
    <font>
      <sz val="12"/>
      <name val="Arial"/>
    </font>
    <font>
      <sz val="11"/>
      <name val="Georgia"/>
      <family val="1"/>
    </font>
    <font>
      <sz val="11"/>
      <name val="Rupee Foradian"/>
      <family val="2"/>
    </font>
    <font>
      <b/>
      <sz val="11"/>
      <name val="Georgia"/>
      <family val="1"/>
    </font>
    <font>
      <b/>
      <sz val="11"/>
      <color theme="4" tint="-0.499984740745262"/>
      <name val="Georgia"/>
      <family val="1"/>
    </font>
    <font>
      <sz val="12"/>
      <name val="Arial"/>
    </font>
    <font>
      <sz val="12"/>
      <color theme="1"/>
      <name val="Georgia"/>
      <family val="1"/>
    </font>
    <font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/>
    <xf numFmtId="165" fontId="6" fillId="0" borderId="1" xfId="1" applyNumberFormat="1" applyFont="1" applyBorder="1"/>
    <xf numFmtId="1" fontId="4" fillId="0" borderId="1" xfId="0" applyNumberFormat="1" applyFont="1" applyBorder="1"/>
    <xf numFmtId="1" fontId="1" fillId="0" borderId="1" xfId="0" applyNumberFormat="1" applyFont="1" applyBorder="1" applyAlignment="1"/>
    <xf numFmtId="1" fontId="6" fillId="0" borderId="1" xfId="1" applyNumberFormat="1" applyFont="1" applyBorder="1"/>
    <xf numFmtId="0" fontId="7" fillId="0" borderId="1" xfId="1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7"/>
  <sheetViews>
    <sheetView tabSelected="1" view="pageBreakPreview" zoomScale="115" zoomScaleSheetLayoutView="115" zoomScalePageLayoutView="120" workbookViewId="0">
      <selection sqref="A1:H1"/>
    </sheetView>
  </sheetViews>
  <sheetFormatPr defaultRowHeight="14.25"/>
  <cols>
    <col min="1" max="1" width="25.77734375" style="1" customWidth="1"/>
    <col min="2" max="2" width="30.88671875" style="1" customWidth="1"/>
    <col min="3" max="3" width="25.33203125" style="1" bestFit="1" customWidth="1"/>
    <col min="4" max="4" width="18.33203125" style="1" bestFit="1" customWidth="1"/>
    <col min="5" max="5" width="11.33203125" style="12" bestFit="1" customWidth="1"/>
    <col min="6" max="6" width="12.109375" style="12" bestFit="1" customWidth="1"/>
    <col min="7" max="7" width="10.5546875" style="12" customWidth="1"/>
    <col min="8" max="8" width="12.6640625" style="12" customWidth="1"/>
    <col min="9" max="16384" width="8.88671875" style="1"/>
  </cols>
  <sheetData>
    <row r="1" spans="1:8">
      <c r="A1" s="24" t="s">
        <v>98</v>
      </c>
      <c r="B1" s="24"/>
      <c r="C1" s="24"/>
      <c r="D1" s="24"/>
      <c r="E1" s="24"/>
      <c r="F1" s="24"/>
      <c r="G1" s="24"/>
      <c r="H1" s="24"/>
    </row>
    <row r="2" spans="1:8">
      <c r="A2" s="24" t="s">
        <v>124</v>
      </c>
      <c r="B2" s="24"/>
      <c r="C2" s="24"/>
      <c r="D2" s="24"/>
      <c r="E2" s="24"/>
      <c r="F2" s="24"/>
      <c r="G2" s="24"/>
      <c r="H2" s="24"/>
    </row>
    <row r="3" spans="1:8">
      <c r="A3" s="24" t="s">
        <v>121</v>
      </c>
      <c r="B3" s="24"/>
      <c r="C3" s="24"/>
      <c r="D3" s="24"/>
      <c r="E3" s="24"/>
      <c r="F3" s="24"/>
      <c r="G3" s="24"/>
      <c r="H3" s="24"/>
    </row>
    <row r="4" spans="1:8">
      <c r="A4" s="24" t="s">
        <v>43</v>
      </c>
      <c r="B4" s="24"/>
      <c r="C4" s="24"/>
      <c r="D4" s="24"/>
      <c r="E4" s="24"/>
      <c r="F4" s="24"/>
      <c r="G4" s="24"/>
      <c r="H4" s="24"/>
    </row>
    <row r="5" spans="1:8">
      <c r="A5" s="24" t="s">
        <v>123</v>
      </c>
      <c r="B5" s="24"/>
      <c r="C5" s="24"/>
      <c r="D5" s="24"/>
      <c r="E5" s="24"/>
      <c r="F5" s="24"/>
      <c r="G5" s="24"/>
      <c r="H5" s="24"/>
    </row>
    <row r="6" spans="1:8">
      <c r="A6" s="24" t="s">
        <v>122</v>
      </c>
      <c r="B6" s="24"/>
      <c r="C6" s="24"/>
      <c r="D6" s="24"/>
      <c r="E6" s="24"/>
      <c r="F6" s="24"/>
      <c r="G6" s="24"/>
      <c r="H6" s="24"/>
    </row>
    <row r="7" spans="1:8" ht="15.75" customHeight="1">
      <c r="A7" s="25" t="s">
        <v>112</v>
      </c>
      <c r="B7" s="25"/>
      <c r="C7" s="25"/>
      <c r="D7" s="25"/>
      <c r="E7" s="25"/>
      <c r="F7" s="25"/>
      <c r="G7" s="25"/>
      <c r="H7" s="25"/>
    </row>
    <row r="8" spans="1:8" ht="15.75" customHeight="1">
      <c r="A8" s="25" t="s">
        <v>113</v>
      </c>
      <c r="B8" s="25"/>
      <c r="C8" s="25"/>
      <c r="D8" s="25"/>
      <c r="E8" s="25"/>
      <c r="F8" s="25"/>
      <c r="G8" s="25"/>
      <c r="H8" s="25"/>
    </row>
    <row r="9" spans="1:8" s="3" customFormat="1" ht="42.75">
      <c r="A9" s="26" t="s">
        <v>46</v>
      </c>
      <c r="B9" s="26"/>
      <c r="C9" s="28" t="s">
        <v>101</v>
      </c>
      <c r="D9" s="29"/>
      <c r="E9" s="16" t="s">
        <v>47</v>
      </c>
      <c r="F9" s="16" t="s">
        <v>48</v>
      </c>
      <c r="G9" s="16" t="s">
        <v>114</v>
      </c>
      <c r="H9" s="16" t="s">
        <v>115</v>
      </c>
    </row>
    <row r="10" spans="1:8" s="3" customFormat="1" ht="57">
      <c r="A10" s="26" t="s">
        <v>0</v>
      </c>
      <c r="B10" s="26"/>
      <c r="C10" s="30"/>
      <c r="D10" s="31"/>
      <c r="E10" s="16" t="s">
        <v>44</v>
      </c>
      <c r="F10" s="16" t="s">
        <v>45</v>
      </c>
      <c r="G10" s="16" t="s">
        <v>116</v>
      </c>
      <c r="H10" s="16" t="s">
        <v>117</v>
      </c>
    </row>
    <row r="11" spans="1:8" ht="15" customHeight="1">
      <c r="A11" s="32">
        <v>1</v>
      </c>
      <c r="B11" s="33"/>
      <c r="C11" s="27">
        <v>2</v>
      </c>
      <c r="D11" s="27"/>
      <c r="E11" s="17">
        <v>3</v>
      </c>
      <c r="F11" s="17">
        <v>4</v>
      </c>
      <c r="G11" s="17">
        <v>5</v>
      </c>
      <c r="H11" s="17">
        <v>6</v>
      </c>
    </row>
    <row r="12" spans="1:8">
      <c r="A12" s="5" t="s">
        <v>49</v>
      </c>
      <c r="B12" s="5" t="s">
        <v>1</v>
      </c>
      <c r="C12" s="5"/>
      <c r="D12" s="6"/>
      <c r="E12" s="15"/>
      <c r="F12" s="15"/>
      <c r="G12" s="15"/>
      <c r="H12" s="15"/>
    </row>
    <row r="13" spans="1:8">
      <c r="A13" s="7" t="s">
        <v>50</v>
      </c>
      <c r="B13" s="7" t="s">
        <v>2</v>
      </c>
      <c r="C13" s="6" t="s">
        <v>89</v>
      </c>
      <c r="D13" s="6" t="s">
        <v>38</v>
      </c>
      <c r="E13" s="9">
        <f>+F13/0.9</f>
        <v>0</v>
      </c>
      <c r="F13" s="23">
        <v>0</v>
      </c>
      <c r="G13" s="9">
        <f>F13</f>
        <v>0</v>
      </c>
      <c r="H13" s="9">
        <v>0</v>
      </c>
    </row>
    <row r="14" spans="1:8" ht="15">
      <c r="A14" s="6"/>
      <c r="B14" s="6"/>
      <c r="C14" s="6" t="s">
        <v>90</v>
      </c>
      <c r="D14" s="6" t="s">
        <v>39</v>
      </c>
      <c r="E14" s="9">
        <f t="shared" ref="E14:E32" si="0">+F14/0.9</f>
        <v>495.5402222222221</v>
      </c>
      <c r="F14" s="19">
        <v>445.98619999999988</v>
      </c>
      <c r="G14" s="9">
        <f t="shared" ref="G14:G77" si="1">F14</f>
        <v>445.98619999999988</v>
      </c>
      <c r="H14" s="9">
        <f>1864.65519-396</f>
        <v>1468.6551899999999</v>
      </c>
    </row>
    <row r="15" spans="1:8">
      <c r="A15" s="6"/>
      <c r="B15" s="6"/>
      <c r="C15" s="6" t="s">
        <v>91</v>
      </c>
      <c r="D15" s="6" t="s">
        <v>40</v>
      </c>
      <c r="E15" s="9">
        <f t="shared" si="0"/>
        <v>0</v>
      </c>
      <c r="F15" s="23">
        <v>0</v>
      </c>
      <c r="G15" s="9">
        <f t="shared" si="1"/>
        <v>0</v>
      </c>
      <c r="H15" s="9">
        <v>0</v>
      </c>
    </row>
    <row r="16" spans="1:8">
      <c r="A16" s="6"/>
      <c r="B16" s="6"/>
      <c r="C16" s="6" t="s">
        <v>92</v>
      </c>
      <c r="D16" s="6" t="s">
        <v>41</v>
      </c>
      <c r="E16" s="9">
        <f t="shared" si="0"/>
        <v>0</v>
      </c>
      <c r="F16" s="23">
        <v>0</v>
      </c>
      <c r="G16" s="9">
        <f t="shared" si="1"/>
        <v>0</v>
      </c>
      <c r="H16" s="9">
        <v>0</v>
      </c>
    </row>
    <row r="17" spans="1:8">
      <c r="A17" s="6"/>
      <c r="B17" s="6"/>
      <c r="C17" s="6" t="s">
        <v>125</v>
      </c>
      <c r="D17" s="6" t="s">
        <v>118</v>
      </c>
      <c r="E17" s="9">
        <f t="shared" si="0"/>
        <v>0</v>
      </c>
      <c r="F17" s="23">
        <v>0</v>
      </c>
      <c r="G17" s="9">
        <f t="shared" si="1"/>
        <v>0</v>
      </c>
      <c r="H17" s="9">
        <v>0</v>
      </c>
    </row>
    <row r="18" spans="1:8">
      <c r="A18" s="6"/>
      <c r="B18" s="6"/>
      <c r="C18" s="7" t="s">
        <v>93</v>
      </c>
      <c r="D18" s="7" t="s">
        <v>97</v>
      </c>
      <c r="E18" s="20">
        <f t="shared" si="0"/>
        <v>495.5402222222221</v>
      </c>
      <c r="F18" s="20">
        <v>445.98619999999988</v>
      </c>
      <c r="G18" s="20">
        <f t="shared" si="1"/>
        <v>445.98619999999988</v>
      </c>
      <c r="H18" s="20">
        <f>1864.65519-396</f>
        <v>1468.6551899999999</v>
      </c>
    </row>
    <row r="19" spans="1:8">
      <c r="A19" s="18"/>
      <c r="B19" s="18"/>
      <c r="C19" s="18"/>
      <c r="D19" s="18"/>
      <c r="E19" s="9"/>
      <c r="F19" s="21"/>
      <c r="G19" s="9"/>
      <c r="H19" s="9"/>
    </row>
    <row r="20" spans="1:8" ht="15">
      <c r="A20" s="7" t="s">
        <v>51</v>
      </c>
      <c r="B20" s="7" t="s">
        <v>3</v>
      </c>
      <c r="C20" s="6" t="s">
        <v>89</v>
      </c>
      <c r="D20" s="6" t="s">
        <v>38</v>
      </c>
      <c r="E20" s="9">
        <f t="shared" si="0"/>
        <v>0</v>
      </c>
      <c r="F20" s="22">
        <v>0</v>
      </c>
      <c r="G20" s="9">
        <f t="shared" si="1"/>
        <v>0</v>
      </c>
      <c r="H20" s="9">
        <v>0</v>
      </c>
    </row>
    <row r="21" spans="1:8" ht="15">
      <c r="A21" s="6"/>
      <c r="B21" s="6"/>
      <c r="C21" s="6" t="s">
        <v>90</v>
      </c>
      <c r="D21" s="6" t="s">
        <v>39</v>
      </c>
      <c r="E21" s="9">
        <f t="shared" si="0"/>
        <v>4277.6617777777783</v>
      </c>
      <c r="F21" s="22">
        <v>3849.8956000000003</v>
      </c>
      <c r="G21" s="9">
        <f t="shared" si="1"/>
        <v>3849.8956000000003</v>
      </c>
      <c r="H21" s="9">
        <f>24784.36661-4569</f>
        <v>20215.366610000001</v>
      </c>
    </row>
    <row r="22" spans="1:8" ht="15">
      <c r="A22" s="6"/>
      <c r="B22" s="6"/>
      <c r="C22" s="6" t="s">
        <v>91</v>
      </c>
      <c r="D22" s="6" t="s">
        <v>40</v>
      </c>
      <c r="E22" s="9">
        <f t="shared" si="0"/>
        <v>0</v>
      </c>
      <c r="F22" s="22">
        <v>0</v>
      </c>
      <c r="G22" s="9">
        <f t="shared" si="1"/>
        <v>0</v>
      </c>
      <c r="H22" s="9">
        <v>136.11000000000001</v>
      </c>
    </row>
    <row r="23" spans="1:8" ht="15">
      <c r="A23" s="6" t="s">
        <v>4</v>
      </c>
      <c r="B23" s="6" t="s">
        <v>4</v>
      </c>
      <c r="C23" s="6" t="s">
        <v>92</v>
      </c>
      <c r="D23" s="6" t="s">
        <v>41</v>
      </c>
      <c r="E23" s="9">
        <f t="shared" si="0"/>
        <v>0</v>
      </c>
      <c r="F23" s="22">
        <v>0</v>
      </c>
      <c r="G23" s="9">
        <f t="shared" si="1"/>
        <v>0</v>
      </c>
      <c r="H23" s="9">
        <v>0</v>
      </c>
    </row>
    <row r="24" spans="1:8" ht="15">
      <c r="A24" s="6"/>
      <c r="B24" s="6"/>
      <c r="C24" s="6" t="s">
        <v>125</v>
      </c>
      <c r="D24" s="6" t="s">
        <v>118</v>
      </c>
      <c r="E24" s="9">
        <f t="shared" si="0"/>
        <v>142.459</v>
      </c>
      <c r="F24" s="22">
        <v>128.2131</v>
      </c>
      <c r="G24" s="9">
        <f t="shared" si="1"/>
        <v>128.2131</v>
      </c>
      <c r="H24" s="9">
        <f>243.7731-100</f>
        <v>143.7731</v>
      </c>
    </row>
    <row r="25" spans="1:8">
      <c r="A25" s="6"/>
      <c r="B25" s="6"/>
      <c r="C25" s="7" t="s">
        <v>93</v>
      </c>
      <c r="D25" s="7" t="s">
        <v>97</v>
      </c>
      <c r="E25" s="20">
        <f t="shared" si="0"/>
        <v>4420.1207777777781</v>
      </c>
      <c r="F25" s="20">
        <v>3978.1087000000002</v>
      </c>
      <c r="G25" s="20">
        <f t="shared" si="1"/>
        <v>3978.1087000000002</v>
      </c>
      <c r="H25" s="20">
        <f>25164.24971-4669</f>
        <v>20495.24971</v>
      </c>
    </row>
    <row r="26" spans="1:8">
      <c r="A26" s="18"/>
      <c r="B26" s="18"/>
      <c r="C26" s="18"/>
      <c r="D26" s="18"/>
      <c r="E26" s="9"/>
      <c r="F26" s="18"/>
      <c r="G26" s="9"/>
      <c r="H26" s="9"/>
    </row>
    <row r="27" spans="1:8">
      <c r="A27" s="7" t="s">
        <v>52</v>
      </c>
      <c r="B27" s="7" t="s">
        <v>5</v>
      </c>
      <c r="C27" s="6" t="s">
        <v>89</v>
      </c>
      <c r="D27" s="6" t="s">
        <v>38</v>
      </c>
      <c r="E27" s="9">
        <f t="shared" si="0"/>
        <v>0</v>
      </c>
      <c r="F27" s="9">
        <v>0</v>
      </c>
      <c r="G27" s="9">
        <f t="shared" si="1"/>
        <v>0</v>
      </c>
      <c r="H27" s="9">
        <v>6131.7540399999998</v>
      </c>
    </row>
    <row r="28" spans="1:8">
      <c r="A28" s="6"/>
      <c r="B28" s="6"/>
      <c r="C28" s="6" t="s">
        <v>90</v>
      </c>
      <c r="D28" s="6" t="s">
        <v>39</v>
      </c>
      <c r="E28" s="9">
        <f t="shared" si="0"/>
        <v>3319.2767777777781</v>
      </c>
      <c r="F28" s="9">
        <v>2987.3491000000004</v>
      </c>
      <c r="G28" s="9">
        <f t="shared" si="1"/>
        <v>2987.3491000000004</v>
      </c>
      <c r="H28" s="9">
        <f>17423.49586-300</f>
        <v>17123.495859999999</v>
      </c>
    </row>
    <row r="29" spans="1:8">
      <c r="A29" s="6"/>
      <c r="B29" s="6"/>
      <c r="C29" s="6" t="s">
        <v>91</v>
      </c>
      <c r="D29" s="6" t="s">
        <v>40</v>
      </c>
      <c r="E29" s="9">
        <f t="shared" si="0"/>
        <v>0</v>
      </c>
      <c r="F29" s="9">
        <v>0</v>
      </c>
      <c r="G29" s="9">
        <f t="shared" si="1"/>
        <v>0</v>
      </c>
      <c r="H29" s="9">
        <f>882.77295-200</f>
        <v>682.77295000000004</v>
      </c>
    </row>
    <row r="30" spans="1:8">
      <c r="A30" s="6"/>
      <c r="B30" s="6"/>
      <c r="C30" s="6" t="s">
        <v>92</v>
      </c>
      <c r="D30" s="6" t="s">
        <v>41</v>
      </c>
      <c r="E30" s="9">
        <f t="shared" si="0"/>
        <v>192.2898888888889</v>
      </c>
      <c r="F30" s="9">
        <v>173.0609</v>
      </c>
      <c r="G30" s="9">
        <f t="shared" si="1"/>
        <v>173.0609</v>
      </c>
      <c r="H30" s="9">
        <f>2223.56806-393</f>
        <v>1830.5680600000001</v>
      </c>
    </row>
    <row r="31" spans="1:8">
      <c r="A31" s="6"/>
      <c r="B31" s="6"/>
      <c r="C31" s="6" t="s">
        <v>125</v>
      </c>
      <c r="D31" s="6" t="s">
        <v>118</v>
      </c>
      <c r="E31" s="9">
        <f t="shared" si="0"/>
        <v>16.052666666666667</v>
      </c>
      <c r="F31" s="9">
        <v>14.4474</v>
      </c>
      <c r="G31" s="9">
        <f t="shared" si="1"/>
        <v>14.4474</v>
      </c>
      <c r="H31" s="9">
        <v>14.4474</v>
      </c>
    </row>
    <row r="32" spans="1:8">
      <c r="A32" s="6"/>
      <c r="B32" s="6"/>
      <c r="C32" s="7" t="s">
        <v>93</v>
      </c>
      <c r="D32" s="7" t="s">
        <v>97</v>
      </c>
      <c r="E32" s="10">
        <f t="shared" si="0"/>
        <v>3527.6193333333335</v>
      </c>
      <c r="F32" s="10">
        <v>3174.8574000000003</v>
      </c>
      <c r="G32" s="10">
        <f t="shared" si="1"/>
        <v>3174.8574000000003</v>
      </c>
      <c r="H32" s="10">
        <f>26676.03831-893</f>
        <v>25783.03831</v>
      </c>
    </row>
    <row r="33" spans="1:8">
      <c r="A33" s="18"/>
      <c r="B33" s="18"/>
      <c r="C33" s="18"/>
      <c r="D33" s="18"/>
      <c r="E33" s="18"/>
      <c r="F33" s="9"/>
      <c r="G33" s="9"/>
      <c r="H33" s="9"/>
    </row>
    <row r="34" spans="1:8">
      <c r="A34" s="7" t="s">
        <v>53</v>
      </c>
      <c r="B34" s="7" t="s">
        <v>102</v>
      </c>
      <c r="C34" s="6" t="s">
        <v>89</v>
      </c>
      <c r="D34" s="6" t="s">
        <v>38</v>
      </c>
      <c r="E34" s="9">
        <f>F34/0.95</f>
        <v>85.213552631578963</v>
      </c>
      <c r="F34" s="9">
        <v>80.952875000000006</v>
      </c>
      <c r="G34" s="9">
        <f t="shared" si="1"/>
        <v>80.952875000000006</v>
      </c>
      <c r="H34" s="9">
        <v>1204.7720750000001</v>
      </c>
    </row>
    <row r="35" spans="1:8">
      <c r="A35" s="6"/>
      <c r="B35" s="6"/>
      <c r="C35" s="6" t="s">
        <v>90</v>
      </c>
      <c r="D35" s="6" t="s">
        <v>39</v>
      </c>
      <c r="E35" s="9">
        <f t="shared" ref="E35:E46" si="2">F35/0.95</f>
        <v>222.3081052631579</v>
      </c>
      <c r="F35" s="9">
        <v>211.1927</v>
      </c>
      <c r="G35" s="9">
        <f t="shared" si="1"/>
        <v>211.1927</v>
      </c>
      <c r="H35" s="9">
        <v>1543.4060600000003</v>
      </c>
    </row>
    <row r="36" spans="1:8">
      <c r="A36" s="6"/>
      <c r="B36" s="6"/>
      <c r="C36" s="6" t="s">
        <v>91</v>
      </c>
      <c r="D36" s="6" t="s">
        <v>40</v>
      </c>
      <c r="E36" s="9">
        <f t="shared" si="2"/>
        <v>329.67368421052635</v>
      </c>
      <c r="F36" s="9">
        <v>313.19</v>
      </c>
      <c r="G36" s="9">
        <f t="shared" si="1"/>
        <v>313.19</v>
      </c>
      <c r="H36" s="9">
        <f>4289.0481-69</f>
        <v>4220.0481</v>
      </c>
    </row>
    <row r="37" spans="1:8">
      <c r="A37" s="6"/>
      <c r="B37" s="6"/>
      <c r="C37" s="6" t="s">
        <v>92</v>
      </c>
      <c r="D37" s="6" t="s">
        <v>41</v>
      </c>
      <c r="E37" s="9">
        <f t="shared" si="2"/>
        <v>24.210526315789476</v>
      </c>
      <c r="F37" s="9">
        <v>23</v>
      </c>
      <c r="G37" s="9">
        <f t="shared" si="1"/>
        <v>23</v>
      </c>
      <c r="H37" s="9">
        <v>488.98259999999993</v>
      </c>
    </row>
    <row r="38" spans="1:8">
      <c r="A38" s="6"/>
      <c r="B38" s="6"/>
      <c r="C38" s="6" t="s">
        <v>125</v>
      </c>
      <c r="D38" s="6" t="s">
        <v>118</v>
      </c>
      <c r="E38" s="9">
        <f t="shared" si="2"/>
        <v>0</v>
      </c>
      <c r="F38" s="9">
        <v>0</v>
      </c>
      <c r="G38" s="9">
        <f t="shared" si="1"/>
        <v>0</v>
      </c>
      <c r="H38" s="9">
        <v>0</v>
      </c>
    </row>
    <row r="39" spans="1:8">
      <c r="A39" s="6"/>
      <c r="B39" s="6"/>
      <c r="C39" s="7" t="s">
        <v>93</v>
      </c>
      <c r="D39" s="7" t="s">
        <v>97</v>
      </c>
      <c r="E39" s="10">
        <f t="shared" si="2"/>
        <v>661.40586842105267</v>
      </c>
      <c r="F39" s="10">
        <v>628.33557500000006</v>
      </c>
      <c r="G39" s="10">
        <f t="shared" si="1"/>
        <v>628.33557500000006</v>
      </c>
      <c r="H39" s="10">
        <f>7526.208835-69</f>
        <v>7457.2088350000004</v>
      </c>
    </row>
    <row r="40" spans="1:8">
      <c r="A40" s="18"/>
      <c r="B40" s="18"/>
      <c r="C40" s="18"/>
      <c r="D40" s="18"/>
      <c r="E40" s="9"/>
      <c r="F40" s="9"/>
      <c r="G40" s="9"/>
      <c r="H40" s="9"/>
    </row>
    <row r="41" spans="1:8">
      <c r="A41" s="7" t="s">
        <v>103</v>
      </c>
      <c r="B41" s="7" t="s">
        <v>104</v>
      </c>
      <c r="C41" s="6" t="s">
        <v>89</v>
      </c>
      <c r="D41" s="6" t="s">
        <v>38</v>
      </c>
      <c r="E41" s="9">
        <f t="shared" si="2"/>
        <v>0</v>
      </c>
      <c r="F41" s="9">
        <v>0</v>
      </c>
      <c r="G41" s="9">
        <f t="shared" si="1"/>
        <v>0</v>
      </c>
      <c r="H41" s="9">
        <v>52.19</v>
      </c>
    </row>
    <row r="42" spans="1:8">
      <c r="A42" s="6"/>
      <c r="B42" s="6"/>
      <c r="C42" s="6" t="s">
        <v>90</v>
      </c>
      <c r="D42" s="6" t="s">
        <v>39</v>
      </c>
      <c r="E42" s="9">
        <f t="shared" si="2"/>
        <v>61.765157894736852</v>
      </c>
      <c r="F42" s="9">
        <v>58.676900000000003</v>
      </c>
      <c r="G42" s="9">
        <f t="shared" si="1"/>
        <v>58.676900000000003</v>
      </c>
      <c r="H42" s="9">
        <v>1319.59096</v>
      </c>
    </row>
    <row r="43" spans="1:8">
      <c r="A43" s="6"/>
      <c r="B43" s="6"/>
      <c r="C43" s="6" t="s">
        <v>91</v>
      </c>
      <c r="D43" s="6" t="s">
        <v>40</v>
      </c>
      <c r="E43" s="9">
        <f t="shared" si="2"/>
        <v>0</v>
      </c>
      <c r="F43" s="9">
        <v>0</v>
      </c>
      <c r="G43" s="9">
        <f t="shared" si="1"/>
        <v>0</v>
      </c>
      <c r="H43" s="9">
        <f>62.35-10</f>
        <v>52.35</v>
      </c>
    </row>
    <row r="44" spans="1:8">
      <c r="A44" s="6"/>
      <c r="B44" s="6"/>
      <c r="C44" s="6" t="s">
        <v>92</v>
      </c>
      <c r="D44" s="6" t="s">
        <v>41</v>
      </c>
      <c r="E44" s="9">
        <f t="shared" si="2"/>
        <v>62.686976736842105</v>
      </c>
      <c r="F44" s="9">
        <v>59.552627899999997</v>
      </c>
      <c r="G44" s="9">
        <f t="shared" si="1"/>
        <v>59.552627899999997</v>
      </c>
      <c r="H44" s="9">
        <v>910.84996789999991</v>
      </c>
    </row>
    <row r="45" spans="1:8">
      <c r="A45" s="6"/>
      <c r="B45" s="6"/>
      <c r="C45" s="6" t="s">
        <v>125</v>
      </c>
      <c r="D45" s="6" t="s">
        <v>118</v>
      </c>
      <c r="E45" s="9">
        <f t="shared" si="2"/>
        <v>0</v>
      </c>
      <c r="F45" s="9">
        <v>0</v>
      </c>
      <c r="G45" s="9">
        <f t="shared" si="1"/>
        <v>0</v>
      </c>
      <c r="H45" s="9">
        <v>0</v>
      </c>
    </row>
    <row r="46" spans="1:8">
      <c r="A46" s="6"/>
      <c r="B46" s="6"/>
      <c r="C46" s="7" t="s">
        <v>93</v>
      </c>
      <c r="D46" s="7" t="s">
        <v>97</v>
      </c>
      <c r="E46" s="10">
        <f t="shared" si="2"/>
        <v>124.45213463157894</v>
      </c>
      <c r="F46" s="10">
        <v>118.22952789999999</v>
      </c>
      <c r="G46" s="10">
        <f t="shared" si="1"/>
        <v>118.22952789999999</v>
      </c>
      <c r="H46" s="10">
        <f>2344.9809279-10</f>
        <v>2334.9809279000001</v>
      </c>
    </row>
    <row r="47" spans="1:8">
      <c r="A47" s="18"/>
      <c r="B47" s="18"/>
      <c r="C47" s="18"/>
      <c r="D47" s="18"/>
      <c r="E47" s="18"/>
      <c r="F47" s="9"/>
      <c r="G47" s="9"/>
      <c r="H47" s="9"/>
    </row>
    <row r="48" spans="1:8">
      <c r="A48" s="7" t="s">
        <v>54</v>
      </c>
      <c r="B48" s="7" t="s">
        <v>6</v>
      </c>
      <c r="C48" s="6" t="s">
        <v>89</v>
      </c>
      <c r="D48" s="6" t="s">
        <v>38</v>
      </c>
      <c r="E48" s="9">
        <f>F48/0.9</f>
        <v>95.352391538888881</v>
      </c>
      <c r="F48" s="9">
        <v>85.817152385</v>
      </c>
      <c r="G48" s="9">
        <f t="shared" si="1"/>
        <v>85.817152385</v>
      </c>
      <c r="H48" s="9">
        <f>10019.637698385-1000</f>
        <v>9019.6376983850005</v>
      </c>
    </row>
    <row r="49" spans="1:8">
      <c r="A49" s="6"/>
      <c r="B49" s="6"/>
      <c r="C49" s="6" t="s">
        <v>90</v>
      </c>
      <c r="D49" s="6" t="s">
        <v>39</v>
      </c>
      <c r="E49" s="9">
        <f t="shared" ref="E49:E60" si="3">F49/0.9</f>
        <v>2071.5083333333323</v>
      </c>
      <c r="F49" s="9">
        <v>1864.3574999999992</v>
      </c>
      <c r="G49" s="9">
        <f t="shared" si="1"/>
        <v>1864.3574999999992</v>
      </c>
      <c r="H49" s="9">
        <f>17674.00406-873</f>
        <v>16801.004059999999</v>
      </c>
    </row>
    <row r="50" spans="1:8">
      <c r="A50" s="6"/>
      <c r="B50" s="6"/>
      <c r="C50" s="6" t="s">
        <v>91</v>
      </c>
      <c r="D50" s="6" t="s">
        <v>40</v>
      </c>
      <c r="E50" s="9">
        <f t="shared" si="3"/>
        <v>98.457370999999995</v>
      </c>
      <c r="F50" s="9">
        <v>88.611633900000001</v>
      </c>
      <c r="G50" s="9">
        <f t="shared" si="1"/>
        <v>88.611633900000001</v>
      </c>
      <c r="H50" s="9">
        <v>2806.7032438999995</v>
      </c>
    </row>
    <row r="51" spans="1:8">
      <c r="A51" s="6"/>
      <c r="B51" s="6"/>
      <c r="C51" s="6" t="s">
        <v>92</v>
      </c>
      <c r="D51" s="6" t="s">
        <v>41</v>
      </c>
      <c r="E51" s="9">
        <f t="shared" si="3"/>
        <v>184.63333333333335</v>
      </c>
      <c r="F51" s="9">
        <v>166.17000000000002</v>
      </c>
      <c r="G51" s="9">
        <f t="shared" si="1"/>
        <v>166.17000000000002</v>
      </c>
      <c r="H51" s="9">
        <v>2507.3063499999998</v>
      </c>
    </row>
    <row r="52" spans="1:8">
      <c r="A52" s="6"/>
      <c r="B52" s="6"/>
      <c r="C52" s="6" t="s">
        <v>125</v>
      </c>
      <c r="D52" s="6" t="s">
        <v>118</v>
      </c>
      <c r="E52" s="9">
        <f t="shared" si="3"/>
        <v>44.444444444444443</v>
      </c>
      <c r="F52" s="9">
        <v>40</v>
      </c>
      <c r="G52" s="9">
        <f t="shared" si="1"/>
        <v>40</v>
      </c>
      <c r="H52" s="9">
        <v>193</v>
      </c>
    </row>
    <row r="53" spans="1:8">
      <c r="A53" s="6"/>
      <c r="B53" s="6"/>
      <c r="C53" s="7" t="s">
        <v>93</v>
      </c>
      <c r="D53" s="7" t="s">
        <v>97</v>
      </c>
      <c r="E53" s="10">
        <f t="shared" si="3"/>
        <v>2494.3958736499994</v>
      </c>
      <c r="F53" s="10">
        <v>2244.9562862849994</v>
      </c>
      <c r="G53" s="10">
        <f t="shared" si="1"/>
        <v>2244.9562862849994</v>
      </c>
      <c r="H53" s="10">
        <f>33200.651352285-1873</f>
        <v>31327.651352285</v>
      </c>
    </row>
    <row r="54" spans="1:8">
      <c r="A54" s="18"/>
      <c r="B54" s="18"/>
      <c r="C54" s="18"/>
      <c r="D54" s="18"/>
      <c r="E54" s="9"/>
      <c r="F54" s="9"/>
      <c r="G54" s="9"/>
      <c r="H54" s="9"/>
    </row>
    <row r="55" spans="1:8">
      <c r="A55" s="7" t="s">
        <v>55</v>
      </c>
      <c r="B55" s="7" t="s">
        <v>7</v>
      </c>
      <c r="C55" s="6" t="s">
        <v>89</v>
      </c>
      <c r="D55" s="6" t="s">
        <v>38</v>
      </c>
      <c r="E55" s="9">
        <f t="shared" si="3"/>
        <v>126.88888888888889</v>
      </c>
      <c r="F55" s="9">
        <v>114.2</v>
      </c>
      <c r="G55" s="9">
        <f t="shared" si="1"/>
        <v>114.2</v>
      </c>
      <c r="H55" s="9">
        <f>5507.52002-500</f>
        <v>5007.5200199999999</v>
      </c>
    </row>
    <row r="56" spans="1:8">
      <c r="A56" s="6"/>
      <c r="B56" s="6"/>
      <c r="C56" s="6" t="s">
        <v>90</v>
      </c>
      <c r="D56" s="6" t="s">
        <v>39</v>
      </c>
      <c r="E56" s="9">
        <f t="shared" si="3"/>
        <v>5084.9588888888902</v>
      </c>
      <c r="F56" s="9">
        <v>4576.4630000000016</v>
      </c>
      <c r="G56" s="9">
        <f t="shared" si="1"/>
        <v>4576.4630000000016</v>
      </c>
      <c r="H56" s="9">
        <f>26240.32643-2000</f>
        <v>24240.326430000001</v>
      </c>
    </row>
    <row r="57" spans="1:8">
      <c r="A57" s="6"/>
      <c r="B57" s="6"/>
      <c r="C57" s="6" t="s">
        <v>91</v>
      </c>
      <c r="D57" s="6" t="s">
        <v>40</v>
      </c>
      <c r="E57" s="9">
        <f t="shared" si="3"/>
        <v>64.446154666666658</v>
      </c>
      <c r="F57" s="9">
        <v>58.001539199999989</v>
      </c>
      <c r="G57" s="9">
        <f t="shared" si="1"/>
        <v>58.001539199999989</v>
      </c>
      <c r="H57" s="9">
        <v>1877.4431292000002</v>
      </c>
    </row>
    <row r="58" spans="1:8">
      <c r="A58" s="6"/>
      <c r="B58" s="6"/>
      <c r="C58" s="6" t="s">
        <v>92</v>
      </c>
      <c r="D58" s="6" t="s">
        <v>41</v>
      </c>
      <c r="E58" s="9">
        <f t="shared" si="3"/>
        <v>108.41891111111111</v>
      </c>
      <c r="F58" s="9">
        <v>97.577020000000005</v>
      </c>
      <c r="G58" s="9">
        <f t="shared" si="1"/>
        <v>97.577020000000005</v>
      </c>
      <c r="H58" s="9">
        <f>3693.29158-442</f>
        <v>3251.2915800000001</v>
      </c>
    </row>
    <row r="59" spans="1:8">
      <c r="A59" s="6"/>
      <c r="B59" s="6"/>
      <c r="C59" s="6" t="s">
        <v>125</v>
      </c>
      <c r="D59" s="6" t="s">
        <v>118</v>
      </c>
      <c r="E59" s="9">
        <f t="shared" si="3"/>
        <v>189.54888888888888</v>
      </c>
      <c r="F59" s="9">
        <v>170.59399999999999</v>
      </c>
      <c r="G59" s="9">
        <f t="shared" si="1"/>
        <v>170.59399999999999</v>
      </c>
      <c r="H59" s="9">
        <v>1307.2115000000001</v>
      </c>
    </row>
    <row r="60" spans="1:8">
      <c r="A60" s="6"/>
      <c r="B60" s="6"/>
      <c r="C60" s="7" t="s">
        <v>93</v>
      </c>
      <c r="D60" s="7" t="s">
        <v>97</v>
      </c>
      <c r="E60" s="10">
        <f t="shared" si="3"/>
        <v>5574.2617324444454</v>
      </c>
      <c r="F60" s="10">
        <v>5016.8355592000007</v>
      </c>
      <c r="G60" s="10">
        <f t="shared" si="1"/>
        <v>5016.8355592000007</v>
      </c>
      <c r="H60" s="10">
        <f>38625.7926592-2942</f>
        <v>35683.7926592</v>
      </c>
    </row>
    <row r="61" spans="1:8">
      <c r="A61" s="18"/>
      <c r="B61" s="18"/>
      <c r="C61" s="18"/>
      <c r="D61" s="18"/>
      <c r="E61" s="18"/>
      <c r="F61" s="9"/>
      <c r="G61" s="9"/>
      <c r="H61" s="9"/>
    </row>
    <row r="62" spans="1:8">
      <c r="A62" s="5" t="s">
        <v>105</v>
      </c>
      <c r="B62" s="5" t="s">
        <v>1</v>
      </c>
      <c r="C62" s="6" t="s">
        <v>89</v>
      </c>
      <c r="D62" s="6" t="s">
        <v>38</v>
      </c>
      <c r="E62" s="9">
        <f>E55+E48+E41+E34+E27+E20+E13</f>
        <v>307.45483305935676</v>
      </c>
      <c r="F62" s="9">
        <v>280.97002738499998</v>
      </c>
      <c r="G62" s="9">
        <f t="shared" si="1"/>
        <v>280.97002738499998</v>
      </c>
      <c r="H62" s="9">
        <v>21415.873833385001</v>
      </c>
    </row>
    <row r="63" spans="1:8">
      <c r="A63" s="6"/>
      <c r="B63" s="6"/>
      <c r="C63" s="6" t="s">
        <v>90</v>
      </c>
      <c r="D63" s="6" t="s">
        <v>39</v>
      </c>
      <c r="E63" s="9">
        <f t="shared" ref="E63:E67" si="4">E56+E49+E42+E35+E28+E21+E14</f>
        <v>15533.019263157898</v>
      </c>
      <c r="F63" s="9">
        <v>13993.921</v>
      </c>
      <c r="G63" s="9">
        <f t="shared" si="1"/>
        <v>13993.921</v>
      </c>
      <c r="H63" s="9">
        <v>82711.845170000001</v>
      </c>
    </row>
    <row r="64" spans="1:8">
      <c r="A64" s="6"/>
      <c r="B64" s="6"/>
      <c r="C64" s="6" t="s">
        <v>91</v>
      </c>
      <c r="D64" s="6" t="s">
        <v>40</v>
      </c>
      <c r="E64" s="9">
        <f t="shared" si="4"/>
        <v>492.57720987719301</v>
      </c>
      <c r="F64" s="9">
        <v>459.80317309999998</v>
      </c>
      <c r="G64" s="9">
        <f t="shared" si="1"/>
        <v>459.80317309999998</v>
      </c>
      <c r="H64" s="9">
        <v>9775.4274230999999</v>
      </c>
    </row>
    <row r="65" spans="1:8">
      <c r="A65" s="6"/>
      <c r="B65" s="6"/>
      <c r="C65" s="6" t="s">
        <v>92</v>
      </c>
      <c r="D65" s="6" t="s">
        <v>41</v>
      </c>
      <c r="E65" s="9">
        <f t="shared" si="4"/>
        <v>572.2396363859649</v>
      </c>
      <c r="F65" s="9">
        <v>519.36054790000003</v>
      </c>
      <c r="G65" s="9">
        <f t="shared" si="1"/>
        <v>519.36054790000003</v>
      </c>
      <c r="H65" s="9">
        <v>8988.9985579000004</v>
      </c>
    </row>
    <row r="66" spans="1:8">
      <c r="A66" s="6"/>
      <c r="B66" s="6"/>
      <c r="C66" s="6" t="s">
        <v>125</v>
      </c>
      <c r="D66" s="6" t="s">
        <v>118</v>
      </c>
      <c r="E66" s="9">
        <f t="shared" si="4"/>
        <v>392.505</v>
      </c>
      <c r="F66" s="9">
        <v>353.25450000000001</v>
      </c>
      <c r="G66" s="9">
        <f t="shared" si="1"/>
        <v>353.25450000000001</v>
      </c>
      <c r="H66" s="9">
        <v>1658.4320000000002</v>
      </c>
    </row>
    <row r="67" spans="1:8">
      <c r="A67" s="6"/>
      <c r="B67" s="6"/>
      <c r="C67" s="5" t="s">
        <v>93</v>
      </c>
      <c r="D67" s="5" t="s">
        <v>97</v>
      </c>
      <c r="E67" s="11">
        <f t="shared" si="4"/>
        <v>17297.79594248041</v>
      </c>
      <c r="F67" s="11">
        <v>15607.309248385001</v>
      </c>
      <c r="G67" s="11">
        <f t="shared" si="1"/>
        <v>15607.309248385001</v>
      </c>
      <c r="H67" s="11">
        <f>135402.576984385-10852</f>
        <v>124550.576984385</v>
      </c>
    </row>
    <row r="68" spans="1:8">
      <c r="A68" s="18"/>
      <c r="B68" s="18"/>
      <c r="C68" s="18"/>
      <c r="D68" s="18"/>
      <c r="E68" s="18"/>
      <c r="F68" s="9"/>
      <c r="G68" s="9"/>
      <c r="H68" s="9"/>
    </row>
    <row r="69" spans="1:8">
      <c r="A69" s="5" t="s">
        <v>56</v>
      </c>
      <c r="B69" s="5" t="s">
        <v>8</v>
      </c>
      <c r="C69" s="6"/>
      <c r="D69" s="6"/>
      <c r="E69" s="9"/>
      <c r="F69" s="9"/>
      <c r="G69" s="9"/>
      <c r="H69" s="9"/>
    </row>
    <row r="70" spans="1:8">
      <c r="A70" s="7" t="s">
        <v>57</v>
      </c>
      <c r="B70" s="7" t="s">
        <v>106</v>
      </c>
      <c r="C70" s="6" t="s">
        <v>89</v>
      </c>
      <c r="D70" s="6" t="s">
        <v>38</v>
      </c>
      <c r="E70" s="9">
        <f>F70/0.95</f>
        <v>0</v>
      </c>
      <c r="F70" s="9">
        <v>0</v>
      </c>
      <c r="G70" s="9">
        <f t="shared" si="1"/>
        <v>0</v>
      </c>
      <c r="H70" s="9">
        <v>0</v>
      </c>
    </row>
    <row r="71" spans="1:8">
      <c r="A71" s="7"/>
      <c r="B71" s="7"/>
      <c r="C71" s="6" t="s">
        <v>90</v>
      </c>
      <c r="D71" s="6" t="s">
        <v>39</v>
      </c>
      <c r="E71" s="9">
        <f t="shared" ref="E71:E134" si="5">F71/0.95</f>
        <v>0</v>
      </c>
      <c r="F71" s="9">
        <v>0</v>
      </c>
      <c r="G71" s="9">
        <f t="shared" si="1"/>
        <v>0</v>
      </c>
      <c r="H71" s="9">
        <v>36.072809999999997</v>
      </c>
    </row>
    <row r="72" spans="1:8">
      <c r="A72" s="6"/>
      <c r="B72" s="6"/>
      <c r="C72" s="6" t="s">
        <v>91</v>
      </c>
      <c r="D72" s="6" t="s">
        <v>40</v>
      </c>
      <c r="E72" s="9">
        <f t="shared" si="5"/>
        <v>0</v>
      </c>
      <c r="F72" s="9">
        <v>0</v>
      </c>
      <c r="G72" s="9">
        <f t="shared" si="1"/>
        <v>0</v>
      </c>
      <c r="H72" s="9">
        <v>35.72</v>
      </c>
    </row>
    <row r="73" spans="1:8">
      <c r="A73" s="6"/>
      <c r="B73" s="6"/>
      <c r="C73" s="6" t="s">
        <v>92</v>
      </c>
      <c r="D73" s="6" t="s">
        <v>41</v>
      </c>
      <c r="E73" s="9">
        <f t="shared" si="5"/>
        <v>10.526315789473685</v>
      </c>
      <c r="F73" s="9">
        <v>10</v>
      </c>
      <c r="G73" s="9">
        <f t="shared" si="1"/>
        <v>10</v>
      </c>
      <c r="H73" s="9">
        <f>45.71-1</f>
        <v>44.71</v>
      </c>
    </row>
    <row r="74" spans="1:8">
      <c r="A74" s="6"/>
      <c r="B74" s="6"/>
      <c r="C74" s="6" t="s">
        <v>125</v>
      </c>
      <c r="D74" s="6" t="s">
        <v>118</v>
      </c>
      <c r="E74" s="9">
        <f t="shared" si="5"/>
        <v>0</v>
      </c>
      <c r="F74" s="9">
        <v>0</v>
      </c>
      <c r="G74" s="9">
        <f t="shared" si="1"/>
        <v>0</v>
      </c>
      <c r="H74" s="9">
        <v>0</v>
      </c>
    </row>
    <row r="75" spans="1:8">
      <c r="A75" s="6"/>
      <c r="B75" s="6"/>
      <c r="C75" s="7" t="s">
        <v>93</v>
      </c>
      <c r="D75" s="7" t="s">
        <v>97</v>
      </c>
      <c r="E75" s="10">
        <f t="shared" si="5"/>
        <v>10.526315789473685</v>
      </c>
      <c r="F75" s="10">
        <v>10</v>
      </c>
      <c r="G75" s="10">
        <f t="shared" si="1"/>
        <v>10</v>
      </c>
      <c r="H75" s="10">
        <f>117.50281-1</f>
        <v>116.50281</v>
      </c>
    </row>
    <row r="76" spans="1:8">
      <c r="A76" s="18"/>
      <c r="B76" s="18"/>
      <c r="C76" s="18"/>
      <c r="D76" s="18"/>
      <c r="E76" s="9"/>
      <c r="F76" s="9"/>
      <c r="G76" s="9"/>
      <c r="H76" s="9"/>
    </row>
    <row r="77" spans="1:8">
      <c r="A77" s="7" t="s">
        <v>58</v>
      </c>
      <c r="B77" s="7" t="s">
        <v>9</v>
      </c>
      <c r="C77" s="6" t="s">
        <v>89</v>
      </c>
      <c r="D77" s="6" t="s">
        <v>38</v>
      </c>
      <c r="E77" s="9">
        <f t="shared" si="5"/>
        <v>0</v>
      </c>
      <c r="F77" s="9">
        <v>0</v>
      </c>
      <c r="G77" s="9">
        <f t="shared" si="1"/>
        <v>0</v>
      </c>
      <c r="H77" s="9">
        <v>15.66</v>
      </c>
    </row>
    <row r="78" spans="1:8">
      <c r="A78" s="6"/>
      <c r="B78" s="6"/>
      <c r="C78" s="6" t="s">
        <v>90</v>
      </c>
      <c r="D78" s="6" t="s">
        <v>39</v>
      </c>
      <c r="E78" s="9">
        <f t="shared" si="5"/>
        <v>1457.9269894736844</v>
      </c>
      <c r="F78" s="9">
        <v>1385.0306400000002</v>
      </c>
      <c r="G78" s="9">
        <f t="shared" ref="G78:G141" si="6">F78</f>
        <v>1385.0306400000002</v>
      </c>
      <c r="H78" s="9">
        <f>6602.42875-1000</f>
        <v>5602.42875</v>
      </c>
    </row>
    <row r="79" spans="1:8">
      <c r="A79" s="6"/>
      <c r="B79" s="6"/>
      <c r="C79" s="6" t="s">
        <v>91</v>
      </c>
      <c r="D79" s="6" t="s">
        <v>40</v>
      </c>
      <c r="E79" s="9">
        <f t="shared" si="5"/>
        <v>4.764842105263158</v>
      </c>
      <c r="F79" s="9">
        <v>4.5266000000000002</v>
      </c>
      <c r="G79" s="9">
        <f t="shared" si="6"/>
        <v>4.5266000000000002</v>
      </c>
      <c r="H79" s="9">
        <v>63.973500000000001</v>
      </c>
    </row>
    <row r="80" spans="1:8">
      <c r="A80" s="6"/>
      <c r="B80" s="6"/>
      <c r="C80" s="6" t="s">
        <v>92</v>
      </c>
      <c r="D80" s="6" t="s">
        <v>41</v>
      </c>
      <c r="E80" s="9">
        <f t="shared" si="5"/>
        <v>342.10526315789474</v>
      </c>
      <c r="F80" s="9">
        <v>325</v>
      </c>
      <c r="G80" s="9">
        <f t="shared" si="6"/>
        <v>325</v>
      </c>
      <c r="H80" s="9">
        <f>1547.51525-797</f>
        <v>750.51524999999992</v>
      </c>
    </row>
    <row r="81" spans="1:8">
      <c r="A81" s="6"/>
      <c r="B81" s="6"/>
      <c r="C81" s="6" t="s">
        <v>125</v>
      </c>
      <c r="D81" s="6" t="s">
        <v>118</v>
      </c>
      <c r="E81" s="9">
        <f t="shared" si="5"/>
        <v>0.53178631578947366</v>
      </c>
      <c r="F81" s="9">
        <v>0.50519700000000001</v>
      </c>
      <c r="G81" s="9">
        <f t="shared" si="6"/>
        <v>0.50519700000000001</v>
      </c>
      <c r="H81" s="9">
        <v>73.505196999999995</v>
      </c>
    </row>
    <row r="82" spans="1:8">
      <c r="A82" s="6"/>
      <c r="B82" s="6"/>
      <c r="C82" s="7" t="s">
        <v>93</v>
      </c>
      <c r="D82" s="7" t="s">
        <v>97</v>
      </c>
      <c r="E82" s="10">
        <f t="shared" si="5"/>
        <v>1805.3288810526317</v>
      </c>
      <c r="F82" s="10">
        <v>1715.062437</v>
      </c>
      <c r="G82" s="10">
        <f t="shared" si="6"/>
        <v>1715.062437</v>
      </c>
      <c r="H82" s="10">
        <f>8303.082697-1797</f>
        <v>6506.0826969999998</v>
      </c>
    </row>
    <row r="83" spans="1:8">
      <c r="A83" s="18"/>
      <c r="B83" s="18"/>
      <c r="C83" s="18"/>
      <c r="D83" s="18"/>
      <c r="E83" s="9"/>
      <c r="F83" s="9"/>
      <c r="G83" s="9"/>
      <c r="H83" s="9"/>
    </row>
    <row r="84" spans="1:8">
      <c r="A84" s="7" t="s">
        <v>59</v>
      </c>
      <c r="B84" s="7" t="s">
        <v>10</v>
      </c>
      <c r="C84" s="6" t="s">
        <v>89</v>
      </c>
      <c r="D84" s="6" t="s">
        <v>38</v>
      </c>
      <c r="E84" s="9">
        <f t="shared" si="5"/>
        <v>0</v>
      </c>
      <c r="F84" s="9">
        <v>0</v>
      </c>
      <c r="G84" s="9">
        <f t="shared" si="6"/>
        <v>0</v>
      </c>
      <c r="H84" s="9">
        <v>0.72</v>
      </c>
    </row>
    <row r="85" spans="1:8">
      <c r="A85" s="6"/>
      <c r="B85" s="6"/>
      <c r="C85" s="6" t="s">
        <v>90</v>
      </c>
      <c r="D85" s="6" t="s">
        <v>39</v>
      </c>
      <c r="E85" s="9">
        <f t="shared" si="5"/>
        <v>27.47357894736842</v>
      </c>
      <c r="F85" s="9">
        <v>26.099899999999998</v>
      </c>
      <c r="G85" s="9">
        <f t="shared" si="6"/>
        <v>26.099899999999998</v>
      </c>
      <c r="H85" s="9">
        <f>117.21948-7</f>
        <v>110.21948</v>
      </c>
    </row>
    <row r="86" spans="1:8">
      <c r="A86" s="6"/>
      <c r="B86" s="6"/>
      <c r="C86" s="6" t="s">
        <v>91</v>
      </c>
      <c r="D86" s="6" t="s">
        <v>40</v>
      </c>
      <c r="E86" s="9">
        <f t="shared" si="5"/>
        <v>0</v>
      </c>
      <c r="F86" s="9">
        <v>0</v>
      </c>
      <c r="G86" s="9">
        <f t="shared" si="6"/>
        <v>0</v>
      </c>
      <c r="H86" s="9">
        <v>27.481300000000001</v>
      </c>
    </row>
    <row r="87" spans="1:8">
      <c r="A87" s="6"/>
      <c r="B87" s="6"/>
      <c r="C87" s="6" t="s">
        <v>92</v>
      </c>
      <c r="D87" s="6" t="s">
        <v>41</v>
      </c>
      <c r="E87" s="9">
        <f t="shared" si="5"/>
        <v>8.5112631578947386</v>
      </c>
      <c r="F87" s="9">
        <v>8.085700000000001</v>
      </c>
      <c r="G87" s="9">
        <f t="shared" si="6"/>
        <v>8.085700000000001</v>
      </c>
      <c r="H87" s="9">
        <f>62.9448971-5</f>
        <v>57.944897099999999</v>
      </c>
    </row>
    <row r="88" spans="1:8">
      <c r="A88" s="6"/>
      <c r="B88" s="6"/>
      <c r="C88" s="6" t="s">
        <v>125</v>
      </c>
      <c r="D88" s="6" t="s">
        <v>118</v>
      </c>
      <c r="E88" s="9">
        <f t="shared" si="5"/>
        <v>0</v>
      </c>
      <c r="F88" s="9">
        <v>0</v>
      </c>
      <c r="G88" s="9">
        <f t="shared" si="6"/>
        <v>0</v>
      </c>
      <c r="H88" s="9">
        <v>2</v>
      </c>
    </row>
    <row r="89" spans="1:8">
      <c r="A89" s="6"/>
      <c r="B89" s="6"/>
      <c r="C89" s="7" t="s">
        <v>93</v>
      </c>
      <c r="D89" s="7" t="s">
        <v>97</v>
      </c>
      <c r="E89" s="10">
        <f t="shared" si="5"/>
        <v>35.984842105263162</v>
      </c>
      <c r="F89" s="10">
        <v>34.185600000000001</v>
      </c>
      <c r="G89" s="10">
        <f t="shared" si="6"/>
        <v>34.185600000000001</v>
      </c>
      <c r="H89" s="10">
        <f>210.3656771-12</f>
        <v>198.3656771</v>
      </c>
    </row>
    <row r="90" spans="1:8">
      <c r="A90" s="18"/>
      <c r="B90" s="18"/>
      <c r="C90" s="18"/>
      <c r="D90" s="18"/>
      <c r="E90" s="9"/>
      <c r="F90" s="9"/>
      <c r="G90" s="9"/>
      <c r="H90" s="9"/>
    </row>
    <row r="91" spans="1:8">
      <c r="A91" s="7" t="s">
        <v>60</v>
      </c>
      <c r="B91" s="7" t="s">
        <v>11</v>
      </c>
      <c r="C91" s="6" t="s">
        <v>89</v>
      </c>
      <c r="D91" s="6" t="s">
        <v>38</v>
      </c>
      <c r="E91" s="9">
        <f t="shared" si="5"/>
        <v>0</v>
      </c>
      <c r="F91" s="9">
        <v>0</v>
      </c>
      <c r="G91" s="9">
        <f t="shared" si="6"/>
        <v>0</v>
      </c>
      <c r="H91" s="9">
        <v>0</v>
      </c>
    </row>
    <row r="92" spans="1:8">
      <c r="A92" s="6"/>
      <c r="B92" s="6"/>
      <c r="C92" s="6" t="s">
        <v>90</v>
      </c>
      <c r="D92" s="6" t="s">
        <v>39</v>
      </c>
      <c r="E92" s="9">
        <f t="shared" si="5"/>
        <v>12.195652631578948</v>
      </c>
      <c r="F92" s="9">
        <v>11.58587</v>
      </c>
      <c r="G92" s="9">
        <f t="shared" si="6"/>
        <v>11.58587</v>
      </c>
      <c r="H92" s="9">
        <v>110.73090000000001</v>
      </c>
    </row>
    <row r="93" spans="1:8">
      <c r="A93" s="6"/>
      <c r="B93" s="6"/>
      <c r="C93" s="6" t="s">
        <v>91</v>
      </c>
      <c r="D93" s="6" t="s">
        <v>40</v>
      </c>
      <c r="E93" s="9">
        <f t="shared" si="5"/>
        <v>16.24535263157895</v>
      </c>
      <c r="F93" s="9">
        <v>15.433085</v>
      </c>
      <c r="G93" s="9">
        <f t="shared" si="6"/>
        <v>15.433085</v>
      </c>
      <c r="H93" s="9">
        <f>155.314775-10</f>
        <v>145.314775</v>
      </c>
    </row>
    <row r="94" spans="1:8">
      <c r="A94" s="6"/>
      <c r="B94" s="6"/>
      <c r="C94" s="6" t="s">
        <v>92</v>
      </c>
      <c r="D94" s="6" t="s">
        <v>41</v>
      </c>
      <c r="E94" s="9">
        <f t="shared" si="5"/>
        <v>1.5858947368421052</v>
      </c>
      <c r="F94" s="9">
        <v>1.5065999999999999</v>
      </c>
      <c r="G94" s="9">
        <f t="shared" si="6"/>
        <v>1.5065999999999999</v>
      </c>
      <c r="H94" s="9">
        <v>59.045149999999992</v>
      </c>
    </row>
    <row r="95" spans="1:8">
      <c r="A95" s="6"/>
      <c r="B95" s="6"/>
      <c r="C95" s="6" t="s">
        <v>125</v>
      </c>
      <c r="D95" s="6" t="s">
        <v>118</v>
      </c>
      <c r="E95" s="9">
        <f t="shared" si="5"/>
        <v>0</v>
      </c>
      <c r="F95" s="9">
        <v>0</v>
      </c>
      <c r="G95" s="9">
        <f t="shared" si="6"/>
        <v>0</v>
      </c>
      <c r="H95" s="9">
        <v>0</v>
      </c>
    </row>
    <row r="96" spans="1:8">
      <c r="A96" s="6"/>
      <c r="B96" s="6"/>
      <c r="C96" s="7" t="s">
        <v>93</v>
      </c>
      <c r="D96" s="7" t="s">
        <v>97</v>
      </c>
      <c r="E96" s="10">
        <f t="shared" si="5"/>
        <v>30.026899999999998</v>
      </c>
      <c r="F96" s="10">
        <v>28.525554999999997</v>
      </c>
      <c r="G96" s="10">
        <f t="shared" si="6"/>
        <v>28.525554999999997</v>
      </c>
      <c r="H96" s="10">
        <f>325.090825-10</f>
        <v>315.090825</v>
      </c>
    </row>
    <row r="97" spans="1:8">
      <c r="A97" s="18"/>
      <c r="B97" s="18"/>
      <c r="C97" s="18"/>
      <c r="D97" s="18"/>
      <c r="E97" s="9"/>
      <c r="F97" s="9"/>
      <c r="G97" s="9"/>
      <c r="H97" s="9"/>
    </row>
    <row r="98" spans="1:8">
      <c r="A98" s="7" t="s">
        <v>61</v>
      </c>
      <c r="B98" s="7" t="s">
        <v>12</v>
      </c>
      <c r="C98" s="6" t="s">
        <v>89</v>
      </c>
      <c r="D98" s="6" t="s">
        <v>38</v>
      </c>
      <c r="E98" s="9">
        <f t="shared" si="5"/>
        <v>0</v>
      </c>
      <c r="F98" s="9">
        <v>0</v>
      </c>
      <c r="G98" s="9">
        <f t="shared" si="6"/>
        <v>0</v>
      </c>
      <c r="H98" s="9">
        <v>0</v>
      </c>
    </row>
    <row r="99" spans="1:8">
      <c r="A99" s="6"/>
      <c r="B99" s="6"/>
      <c r="C99" s="6" t="s">
        <v>90</v>
      </c>
      <c r="D99" s="6" t="s">
        <v>39</v>
      </c>
      <c r="E99" s="9">
        <f t="shared" si="5"/>
        <v>3.9482105263157896</v>
      </c>
      <c r="F99" s="9">
        <v>3.7507999999999999</v>
      </c>
      <c r="G99" s="9">
        <f t="shared" si="6"/>
        <v>3.7507999999999999</v>
      </c>
      <c r="H99" s="9">
        <v>44.794730000000001</v>
      </c>
    </row>
    <row r="100" spans="1:8">
      <c r="A100" s="6"/>
      <c r="B100" s="6"/>
      <c r="C100" s="6" t="s">
        <v>91</v>
      </c>
      <c r="D100" s="6" t="s">
        <v>40</v>
      </c>
      <c r="E100" s="9">
        <f t="shared" si="5"/>
        <v>11.284210526315791</v>
      </c>
      <c r="F100" s="9">
        <v>10.72</v>
      </c>
      <c r="G100" s="9">
        <f t="shared" si="6"/>
        <v>10.72</v>
      </c>
      <c r="H100" s="9">
        <v>200.96500179999998</v>
      </c>
    </row>
    <row r="101" spans="1:8">
      <c r="A101" s="6"/>
      <c r="B101" s="6"/>
      <c r="C101" s="6" t="s">
        <v>92</v>
      </c>
      <c r="D101" s="6" t="s">
        <v>41</v>
      </c>
      <c r="E101" s="9">
        <f t="shared" si="5"/>
        <v>102.8421052631579</v>
      </c>
      <c r="F101" s="9">
        <v>97.7</v>
      </c>
      <c r="G101" s="9">
        <f t="shared" si="6"/>
        <v>97.7</v>
      </c>
      <c r="H101" s="9">
        <f>534.35356-90</f>
        <v>444.35356000000002</v>
      </c>
    </row>
    <row r="102" spans="1:8">
      <c r="A102" s="6"/>
      <c r="B102" s="6"/>
      <c r="C102" s="6" t="s">
        <v>125</v>
      </c>
      <c r="D102" s="6" t="s">
        <v>118</v>
      </c>
      <c r="E102" s="9">
        <f t="shared" si="5"/>
        <v>1.6432331578947368</v>
      </c>
      <c r="F102" s="9">
        <v>1.5610714999999999</v>
      </c>
      <c r="G102" s="9">
        <f t="shared" si="6"/>
        <v>1.5610714999999999</v>
      </c>
      <c r="H102" s="9">
        <v>4.6510714999999996</v>
      </c>
    </row>
    <row r="103" spans="1:8">
      <c r="A103" s="6"/>
      <c r="B103" s="6"/>
      <c r="C103" s="7" t="s">
        <v>93</v>
      </c>
      <c r="D103" s="7" t="s">
        <v>97</v>
      </c>
      <c r="E103" s="10">
        <f t="shared" si="5"/>
        <v>119.71775947368421</v>
      </c>
      <c r="F103" s="10">
        <v>113.7318715</v>
      </c>
      <c r="G103" s="10">
        <f t="shared" si="6"/>
        <v>113.7318715</v>
      </c>
      <c r="H103" s="10">
        <f>784.7643633-90</f>
        <v>694.76436330000001</v>
      </c>
    </row>
    <row r="104" spans="1:8">
      <c r="A104" s="18"/>
      <c r="B104" s="18"/>
      <c r="C104" s="18"/>
      <c r="D104" s="18"/>
      <c r="E104" s="9"/>
      <c r="F104" s="9"/>
      <c r="G104" s="9"/>
      <c r="H104" s="9"/>
    </row>
    <row r="105" spans="1:8">
      <c r="A105" s="7" t="s">
        <v>62</v>
      </c>
      <c r="B105" s="7" t="s">
        <v>13</v>
      </c>
      <c r="C105" s="6" t="s">
        <v>89</v>
      </c>
      <c r="D105" s="6" t="s">
        <v>38</v>
      </c>
      <c r="E105" s="9">
        <f t="shared" si="5"/>
        <v>0</v>
      </c>
      <c r="F105" s="9">
        <v>0</v>
      </c>
      <c r="G105" s="9">
        <f t="shared" si="6"/>
        <v>0</v>
      </c>
      <c r="H105" s="9">
        <v>0</v>
      </c>
    </row>
    <row r="106" spans="1:8">
      <c r="A106" s="6"/>
      <c r="B106" s="6"/>
      <c r="C106" s="6" t="s">
        <v>90</v>
      </c>
      <c r="D106" s="6" t="s">
        <v>39</v>
      </c>
      <c r="E106" s="9">
        <f t="shared" si="5"/>
        <v>18.143578947368422</v>
      </c>
      <c r="F106" s="9">
        <v>17.2364</v>
      </c>
      <c r="G106" s="9">
        <f t="shared" si="6"/>
        <v>17.2364</v>
      </c>
      <c r="H106" s="9">
        <f>64.76983-31</f>
        <v>33.769829999999999</v>
      </c>
    </row>
    <row r="107" spans="1:8">
      <c r="A107" s="6"/>
      <c r="B107" s="6"/>
      <c r="C107" s="6" t="s">
        <v>91</v>
      </c>
      <c r="D107" s="6" t="s">
        <v>40</v>
      </c>
      <c r="E107" s="9">
        <f t="shared" si="5"/>
        <v>37.066210526315786</v>
      </c>
      <c r="F107" s="9">
        <v>35.212899999999998</v>
      </c>
      <c r="G107" s="9">
        <f t="shared" si="6"/>
        <v>35.212899999999998</v>
      </c>
      <c r="H107" s="9">
        <v>194.86804999999998</v>
      </c>
    </row>
    <row r="108" spans="1:8">
      <c r="A108" s="6"/>
      <c r="B108" s="6"/>
      <c r="C108" s="6" t="s">
        <v>92</v>
      </c>
      <c r="D108" s="6" t="s">
        <v>41</v>
      </c>
      <c r="E108" s="9">
        <f t="shared" si="5"/>
        <v>2.7435789473684209</v>
      </c>
      <c r="F108" s="9">
        <v>2.6063999999999998</v>
      </c>
      <c r="G108" s="9">
        <f t="shared" si="6"/>
        <v>2.6063999999999998</v>
      </c>
      <c r="H108" s="9">
        <v>3.7363999999999997</v>
      </c>
    </row>
    <row r="109" spans="1:8">
      <c r="A109" s="6"/>
      <c r="B109" s="6"/>
      <c r="C109" s="6" t="s">
        <v>125</v>
      </c>
      <c r="D109" s="6" t="s">
        <v>118</v>
      </c>
      <c r="E109" s="9">
        <f t="shared" si="5"/>
        <v>0</v>
      </c>
      <c r="F109" s="9">
        <v>0</v>
      </c>
      <c r="G109" s="9">
        <f t="shared" si="6"/>
        <v>0</v>
      </c>
      <c r="H109" s="9">
        <v>0</v>
      </c>
    </row>
    <row r="110" spans="1:8">
      <c r="A110" s="6"/>
      <c r="B110" s="6"/>
      <c r="C110" s="7" t="s">
        <v>93</v>
      </c>
      <c r="D110" s="7" t="s">
        <v>97</v>
      </c>
      <c r="E110" s="10">
        <f t="shared" si="5"/>
        <v>57.95336842105263</v>
      </c>
      <c r="F110" s="10">
        <v>55.055699999999995</v>
      </c>
      <c r="G110" s="10">
        <f t="shared" si="6"/>
        <v>55.055699999999995</v>
      </c>
      <c r="H110" s="10">
        <f>263.37428-31</f>
        <v>232.37428</v>
      </c>
    </row>
    <row r="111" spans="1:8">
      <c r="A111" s="18"/>
      <c r="B111" s="18"/>
      <c r="C111" s="18"/>
      <c r="D111" s="18"/>
      <c r="E111" s="9"/>
      <c r="F111" s="9"/>
      <c r="G111" s="9"/>
      <c r="H111" s="9"/>
    </row>
    <row r="112" spans="1:8">
      <c r="A112" s="7" t="s">
        <v>63</v>
      </c>
      <c r="B112" s="7" t="s">
        <v>14</v>
      </c>
      <c r="C112" s="6" t="s">
        <v>89</v>
      </c>
      <c r="D112" s="6" t="s">
        <v>38</v>
      </c>
      <c r="E112" s="9">
        <f t="shared" si="5"/>
        <v>0</v>
      </c>
      <c r="F112" s="9">
        <v>0</v>
      </c>
      <c r="G112" s="9">
        <f t="shared" si="6"/>
        <v>0</v>
      </c>
      <c r="H112" s="9">
        <v>78.47</v>
      </c>
    </row>
    <row r="113" spans="1:8">
      <c r="A113" s="6"/>
      <c r="B113" s="6"/>
      <c r="C113" s="6" t="s">
        <v>90</v>
      </c>
      <c r="D113" s="6" t="s">
        <v>39</v>
      </c>
      <c r="E113" s="9">
        <f t="shared" si="5"/>
        <v>470.88471578947366</v>
      </c>
      <c r="F113" s="9">
        <v>447.34047999999996</v>
      </c>
      <c r="G113" s="9">
        <f t="shared" si="6"/>
        <v>447.34047999999996</v>
      </c>
      <c r="H113" s="9">
        <f>917.98429-73</f>
        <v>844.98428999999999</v>
      </c>
    </row>
    <row r="114" spans="1:8">
      <c r="A114" s="6"/>
      <c r="B114" s="6"/>
      <c r="C114" s="6" t="s">
        <v>91</v>
      </c>
      <c r="D114" s="6" t="s">
        <v>40</v>
      </c>
      <c r="E114" s="9">
        <f t="shared" si="5"/>
        <v>145.68619368421054</v>
      </c>
      <c r="F114" s="9">
        <v>138.401884</v>
      </c>
      <c r="G114" s="9">
        <f t="shared" si="6"/>
        <v>138.401884</v>
      </c>
      <c r="H114" s="9">
        <v>639.98188400000004</v>
      </c>
    </row>
    <row r="115" spans="1:8">
      <c r="A115" s="6"/>
      <c r="B115" s="6"/>
      <c r="C115" s="6" t="s">
        <v>92</v>
      </c>
      <c r="D115" s="6" t="s">
        <v>41</v>
      </c>
      <c r="E115" s="9">
        <f t="shared" si="5"/>
        <v>93.15789473684211</v>
      </c>
      <c r="F115" s="9">
        <v>88.5</v>
      </c>
      <c r="G115" s="9">
        <f t="shared" si="6"/>
        <v>88.5</v>
      </c>
      <c r="H115" s="9">
        <f>719.2705-250</f>
        <v>469.27049999999997</v>
      </c>
    </row>
    <row r="116" spans="1:8">
      <c r="A116" s="6"/>
      <c r="B116" s="6"/>
      <c r="C116" s="6" t="s">
        <v>125</v>
      </c>
      <c r="D116" s="6" t="s">
        <v>118</v>
      </c>
      <c r="E116" s="9">
        <f t="shared" si="5"/>
        <v>0.17023105263157898</v>
      </c>
      <c r="F116" s="9">
        <v>0.16171950000000002</v>
      </c>
      <c r="G116" s="9">
        <f t="shared" si="6"/>
        <v>0.16171950000000002</v>
      </c>
      <c r="H116" s="9">
        <v>1.1117195</v>
      </c>
    </row>
    <row r="117" spans="1:8">
      <c r="A117" s="6"/>
      <c r="B117" s="6"/>
      <c r="C117" s="7" t="s">
        <v>93</v>
      </c>
      <c r="D117" s="7" t="s">
        <v>97</v>
      </c>
      <c r="E117" s="10">
        <f t="shared" si="5"/>
        <v>709.89903526315788</v>
      </c>
      <c r="F117" s="10">
        <v>674.40408349999996</v>
      </c>
      <c r="G117" s="10">
        <f t="shared" si="6"/>
        <v>674.40408349999996</v>
      </c>
      <c r="H117" s="10">
        <f>2356.8183935-323</f>
        <v>2033.8183935000002</v>
      </c>
    </row>
    <row r="118" spans="1:8">
      <c r="A118" s="18"/>
      <c r="B118" s="18"/>
      <c r="C118" s="18"/>
      <c r="D118" s="18"/>
      <c r="E118" s="9"/>
      <c r="F118" s="9"/>
      <c r="G118" s="9"/>
      <c r="H118" s="9"/>
    </row>
    <row r="119" spans="1:8">
      <c r="A119" s="7" t="s">
        <v>64</v>
      </c>
      <c r="B119" s="7" t="s">
        <v>15</v>
      </c>
      <c r="C119" s="6" t="s">
        <v>89</v>
      </c>
      <c r="D119" s="6" t="s">
        <v>38</v>
      </c>
      <c r="E119" s="9">
        <f t="shared" si="5"/>
        <v>0</v>
      </c>
      <c r="F119" s="9">
        <v>0</v>
      </c>
      <c r="G119" s="9">
        <f t="shared" si="6"/>
        <v>0</v>
      </c>
      <c r="H119" s="9">
        <v>0</v>
      </c>
    </row>
    <row r="120" spans="1:8">
      <c r="A120" s="6"/>
      <c r="B120" s="6"/>
      <c r="C120" s="6" t="s">
        <v>90</v>
      </c>
      <c r="D120" s="6" t="s">
        <v>39</v>
      </c>
      <c r="E120" s="9">
        <f t="shared" si="5"/>
        <v>11.005484210526317</v>
      </c>
      <c r="F120" s="9">
        <v>10.455210000000001</v>
      </c>
      <c r="G120" s="9">
        <f t="shared" si="6"/>
        <v>10.455210000000001</v>
      </c>
      <c r="H120" s="9">
        <f>125.38817-1</f>
        <v>124.38817</v>
      </c>
    </row>
    <row r="121" spans="1:8">
      <c r="A121" s="6"/>
      <c r="B121" s="6"/>
      <c r="C121" s="6" t="s">
        <v>91</v>
      </c>
      <c r="D121" s="6" t="s">
        <v>40</v>
      </c>
      <c r="E121" s="9">
        <f t="shared" si="5"/>
        <v>2.2485263157894737</v>
      </c>
      <c r="F121" s="9">
        <v>2.1360999999999999</v>
      </c>
      <c r="G121" s="9">
        <f t="shared" si="6"/>
        <v>2.1360999999999999</v>
      </c>
      <c r="H121" s="9">
        <v>45.272149999999996</v>
      </c>
    </row>
    <row r="122" spans="1:8">
      <c r="A122" s="6"/>
      <c r="B122" s="6"/>
      <c r="C122" s="6" t="s">
        <v>92</v>
      </c>
      <c r="D122" s="6" t="s">
        <v>41</v>
      </c>
      <c r="E122" s="9">
        <f t="shared" si="5"/>
        <v>0</v>
      </c>
      <c r="F122" s="9">
        <v>0</v>
      </c>
      <c r="G122" s="9">
        <f t="shared" si="6"/>
        <v>0</v>
      </c>
      <c r="H122" s="9">
        <v>0</v>
      </c>
    </row>
    <row r="123" spans="1:8">
      <c r="A123" s="6"/>
      <c r="B123" s="6"/>
      <c r="C123" s="6" t="s">
        <v>125</v>
      </c>
      <c r="D123" s="6" t="s">
        <v>118</v>
      </c>
      <c r="E123" s="9">
        <f t="shared" si="5"/>
        <v>0</v>
      </c>
      <c r="F123" s="9">
        <v>0</v>
      </c>
      <c r="G123" s="9">
        <f t="shared" si="6"/>
        <v>0</v>
      </c>
      <c r="H123" s="9">
        <v>0</v>
      </c>
    </row>
    <row r="124" spans="1:8">
      <c r="A124" s="6"/>
      <c r="B124" s="6"/>
      <c r="C124" s="7" t="s">
        <v>93</v>
      </c>
      <c r="D124" s="7" t="s">
        <v>97</v>
      </c>
      <c r="E124" s="10">
        <f t="shared" si="5"/>
        <v>13.25401052631579</v>
      </c>
      <c r="F124" s="10">
        <v>12.59131</v>
      </c>
      <c r="G124" s="10">
        <f t="shared" si="6"/>
        <v>12.59131</v>
      </c>
      <c r="H124" s="10">
        <f>170.66032-1</f>
        <v>169.66032000000001</v>
      </c>
    </row>
    <row r="125" spans="1:8">
      <c r="A125" s="18"/>
      <c r="B125" s="18"/>
      <c r="C125" s="18"/>
      <c r="D125" s="18"/>
      <c r="E125" s="9"/>
      <c r="F125" s="9"/>
      <c r="G125" s="9"/>
      <c r="H125" s="9"/>
    </row>
    <row r="126" spans="1:8">
      <c r="A126" s="5" t="s">
        <v>56</v>
      </c>
      <c r="B126" s="5" t="s">
        <v>8</v>
      </c>
      <c r="C126" s="6" t="s">
        <v>89</v>
      </c>
      <c r="D126" s="6" t="s">
        <v>38</v>
      </c>
      <c r="E126" s="9">
        <f t="shared" si="5"/>
        <v>0</v>
      </c>
      <c r="F126" s="9">
        <v>0</v>
      </c>
      <c r="G126" s="9">
        <f t="shared" si="6"/>
        <v>0</v>
      </c>
      <c r="H126" s="9">
        <v>94.85</v>
      </c>
    </row>
    <row r="127" spans="1:8">
      <c r="A127" s="6"/>
      <c r="B127" s="6"/>
      <c r="C127" s="6" t="s">
        <v>90</v>
      </c>
      <c r="D127" s="6" t="s">
        <v>39</v>
      </c>
      <c r="E127" s="9">
        <f t="shared" si="5"/>
        <v>2001.5782105263158</v>
      </c>
      <c r="F127" s="9">
        <v>1901.4992999999999</v>
      </c>
      <c r="G127" s="9">
        <f t="shared" si="6"/>
        <v>1901.4992999999999</v>
      </c>
      <c r="H127" s="9">
        <v>6907.3889600000002</v>
      </c>
    </row>
    <row r="128" spans="1:8">
      <c r="A128" s="6"/>
      <c r="B128" s="6"/>
      <c r="C128" s="6" t="s">
        <v>91</v>
      </c>
      <c r="D128" s="6" t="s">
        <v>40</v>
      </c>
      <c r="E128" s="9">
        <f t="shared" si="5"/>
        <v>217.29533578947368</v>
      </c>
      <c r="F128" s="9">
        <v>206.43056899999999</v>
      </c>
      <c r="G128" s="9">
        <f t="shared" si="6"/>
        <v>206.43056899999999</v>
      </c>
      <c r="H128" s="9">
        <v>1353.5766608000001</v>
      </c>
    </row>
    <row r="129" spans="1:8">
      <c r="A129" s="6"/>
      <c r="B129" s="6"/>
      <c r="C129" s="6" t="s">
        <v>92</v>
      </c>
      <c r="D129" s="6" t="s">
        <v>41</v>
      </c>
      <c r="E129" s="9">
        <f t="shared" si="5"/>
        <v>561.47231578947367</v>
      </c>
      <c r="F129" s="9">
        <v>533.39869999999996</v>
      </c>
      <c r="G129" s="9">
        <f t="shared" si="6"/>
        <v>533.39869999999996</v>
      </c>
      <c r="H129" s="9">
        <v>1829.5757570999999</v>
      </c>
    </row>
    <row r="130" spans="1:8">
      <c r="A130" s="6"/>
      <c r="B130" s="6"/>
      <c r="C130" s="6" t="s">
        <v>125</v>
      </c>
      <c r="D130" s="6" t="s">
        <v>118</v>
      </c>
      <c r="E130" s="9">
        <f t="shared" si="5"/>
        <v>2.3452505263157892</v>
      </c>
      <c r="F130" s="9">
        <v>2.2279879999999999</v>
      </c>
      <c r="G130" s="9">
        <f t="shared" si="6"/>
        <v>2.2279879999999999</v>
      </c>
      <c r="H130" s="9">
        <v>81.267988000000003</v>
      </c>
    </row>
    <row r="131" spans="1:8">
      <c r="A131" s="6"/>
      <c r="B131" s="6"/>
      <c r="C131" s="5" t="s">
        <v>93</v>
      </c>
      <c r="D131" s="5" t="s">
        <v>97</v>
      </c>
      <c r="E131" s="11">
        <f t="shared" si="5"/>
        <v>2782.691112631579</v>
      </c>
      <c r="F131" s="11">
        <v>2643.5565569999999</v>
      </c>
      <c r="G131" s="11">
        <f t="shared" si="6"/>
        <v>2643.5565569999999</v>
      </c>
      <c r="H131" s="11">
        <f>12531.6593659-2266</f>
        <v>10265.659365899999</v>
      </c>
    </row>
    <row r="132" spans="1:8">
      <c r="A132" s="18"/>
      <c r="B132" s="18"/>
      <c r="C132" s="18"/>
      <c r="D132" s="18"/>
      <c r="E132" s="9"/>
      <c r="F132" s="9"/>
      <c r="G132" s="9"/>
      <c r="H132" s="9"/>
    </row>
    <row r="133" spans="1:8">
      <c r="A133" s="5" t="s">
        <v>65</v>
      </c>
      <c r="B133" s="5" t="s">
        <v>16</v>
      </c>
      <c r="C133" s="6"/>
      <c r="D133" s="6"/>
      <c r="E133" s="9"/>
      <c r="F133" s="9"/>
      <c r="G133" s="9"/>
      <c r="H133" s="9"/>
    </row>
    <row r="134" spans="1:8">
      <c r="A134" s="7" t="s">
        <v>66</v>
      </c>
      <c r="B134" s="7" t="s">
        <v>17</v>
      </c>
      <c r="C134" s="6" t="s">
        <v>89</v>
      </c>
      <c r="D134" s="6" t="s">
        <v>38</v>
      </c>
      <c r="E134" s="9">
        <f t="shared" si="5"/>
        <v>0</v>
      </c>
      <c r="F134" s="9">
        <v>0</v>
      </c>
      <c r="G134" s="9">
        <f t="shared" si="6"/>
        <v>0</v>
      </c>
      <c r="H134" s="9">
        <v>365.7</v>
      </c>
    </row>
    <row r="135" spans="1:8">
      <c r="A135" s="6"/>
      <c r="B135" s="6"/>
      <c r="C135" s="6" t="s">
        <v>90</v>
      </c>
      <c r="D135" s="6" t="s">
        <v>39</v>
      </c>
      <c r="E135" s="9">
        <f t="shared" ref="E135:E174" si="7">F135/0.95</f>
        <v>1879.4189473684212</v>
      </c>
      <c r="F135" s="9">
        <v>1785.4480000000001</v>
      </c>
      <c r="G135" s="9">
        <f t="shared" si="6"/>
        <v>1785.4480000000001</v>
      </c>
      <c r="H135" s="9">
        <v>8513.3086500000009</v>
      </c>
    </row>
    <row r="136" spans="1:8">
      <c r="A136" s="6"/>
      <c r="B136" s="6"/>
      <c r="C136" s="6" t="s">
        <v>91</v>
      </c>
      <c r="D136" s="6" t="s">
        <v>40</v>
      </c>
      <c r="E136" s="9">
        <f t="shared" si="7"/>
        <v>0</v>
      </c>
      <c r="F136" s="9">
        <v>0</v>
      </c>
      <c r="G136" s="9">
        <f t="shared" si="6"/>
        <v>0</v>
      </c>
      <c r="H136" s="9">
        <v>3.19</v>
      </c>
    </row>
    <row r="137" spans="1:8">
      <c r="A137" s="6"/>
      <c r="B137" s="6"/>
      <c r="C137" s="6" t="s">
        <v>92</v>
      </c>
      <c r="D137" s="6" t="s">
        <v>41</v>
      </c>
      <c r="E137" s="9">
        <f t="shared" si="7"/>
        <v>2105.2631578947367</v>
      </c>
      <c r="F137" s="9">
        <v>1999.9999999999998</v>
      </c>
      <c r="G137" s="9">
        <f t="shared" si="6"/>
        <v>1999.9999999999998</v>
      </c>
      <c r="H137" s="9">
        <f>14331.95578-1102</f>
        <v>13229.95578</v>
      </c>
    </row>
    <row r="138" spans="1:8">
      <c r="A138" s="6"/>
      <c r="B138" s="6"/>
      <c r="C138" s="6" t="s">
        <v>125</v>
      </c>
      <c r="D138" s="6" t="s">
        <v>118</v>
      </c>
      <c r="E138" s="9">
        <f t="shared" si="7"/>
        <v>29.922675789473679</v>
      </c>
      <c r="F138" s="9">
        <v>28.426541999999994</v>
      </c>
      <c r="G138" s="9">
        <f t="shared" si="6"/>
        <v>28.426541999999994</v>
      </c>
      <c r="H138" s="9">
        <v>34.576541999999996</v>
      </c>
    </row>
    <row r="139" spans="1:8">
      <c r="A139" s="6"/>
      <c r="B139" s="6"/>
      <c r="C139" s="7" t="s">
        <v>93</v>
      </c>
      <c r="D139" s="7" t="s">
        <v>97</v>
      </c>
      <c r="E139" s="10">
        <f t="shared" si="7"/>
        <v>4014.604781052632</v>
      </c>
      <c r="F139" s="10">
        <v>3813.874542</v>
      </c>
      <c r="G139" s="10">
        <f t="shared" si="6"/>
        <v>3813.874542</v>
      </c>
      <c r="H139" s="10">
        <f>23248.730972-1102</f>
        <v>22146.730972000001</v>
      </c>
    </row>
    <row r="140" spans="1:8">
      <c r="A140" s="18"/>
      <c r="B140" s="18"/>
      <c r="C140" s="18"/>
      <c r="D140" s="18"/>
      <c r="E140" s="9"/>
      <c r="F140" s="9"/>
      <c r="G140" s="9"/>
      <c r="H140" s="9"/>
    </row>
    <row r="141" spans="1:8">
      <c r="A141" s="7" t="s">
        <v>67</v>
      </c>
      <c r="B141" s="7" t="s">
        <v>18</v>
      </c>
      <c r="C141" s="6" t="s">
        <v>89</v>
      </c>
      <c r="D141" s="6" t="s">
        <v>38</v>
      </c>
      <c r="E141" s="9">
        <f t="shared" si="7"/>
        <v>0</v>
      </c>
      <c r="F141" s="9">
        <v>0</v>
      </c>
      <c r="G141" s="9">
        <f t="shared" si="6"/>
        <v>0</v>
      </c>
      <c r="H141" s="9">
        <v>0</v>
      </c>
    </row>
    <row r="142" spans="1:8">
      <c r="A142" s="6"/>
      <c r="B142" s="6"/>
      <c r="C142" s="6" t="s">
        <v>90</v>
      </c>
      <c r="D142" s="6" t="s">
        <v>39</v>
      </c>
      <c r="E142" s="9">
        <f t="shared" si="7"/>
        <v>559.66021052631584</v>
      </c>
      <c r="F142" s="9">
        <v>531.67719999999997</v>
      </c>
      <c r="G142" s="9">
        <f t="shared" ref="G142:G205" si="8">F142</f>
        <v>531.67719999999997</v>
      </c>
      <c r="H142" s="9">
        <f>2800.66196-152</f>
        <v>2648.6619599999999</v>
      </c>
    </row>
    <row r="143" spans="1:8">
      <c r="A143" s="6"/>
      <c r="B143" s="6"/>
      <c r="C143" s="6" t="s">
        <v>91</v>
      </c>
      <c r="D143" s="6" t="s">
        <v>40</v>
      </c>
      <c r="E143" s="9">
        <f t="shared" si="7"/>
        <v>0</v>
      </c>
      <c r="F143" s="9">
        <v>0</v>
      </c>
      <c r="G143" s="9">
        <f t="shared" si="8"/>
        <v>0</v>
      </c>
      <c r="H143" s="9">
        <v>0</v>
      </c>
    </row>
    <row r="144" spans="1:8">
      <c r="A144" s="6"/>
      <c r="B144" s="6"/>
      <c r="C144" s="6" t="s">
        <v>92</v>
      </c>
      <c r="D144" s="6" t="s">
        <v>41</v>
      </c>
      <c r="E144" s="9">
        <f t="shared" si="7"/>
        <v>38.526315789473685</v>
      </c>
      <c r="F144" s="9">
        <v>36.6</v>
      </c>
      <c r="G144" s="9">
        <f t="shared" si="8"/>
        <v>36.6</v>
      </c>
      <c r="H144" s="9">
        <f>326.469585-120</f>
        <v>206.469585</v>
      </c>
    </row>
    <row r="145" spans="1:8">
      <c r="A145" s="6"/>
      <c r="B145" s="6"/>
      <c r="C145" s="6" t="s">
        <v>125</v>
      </c>
      <c r="D145" s="6" t="s">
        <v>118</v>
      </c>
      <c r="E145" s="9">
        <f t="shared" si="7"/>
        <v>58.37562105263158</v>
      </c>
      <c r="F145" s="9">
        <v>55.45684</v>
      </c>
      <c r="G145" s="9">
        <f t="shared" si="8"/>
        <v>55.45684</v>
      </c>
      <c r="H145" s="9">
        <v>101.87684</v>
      </c>
    </row>
    <row r="146" spans="1:8">
      <c r="A146" s="6"/>
      <c r="B146" s="6"/>
      <c r="C146" s="7" t="s">
        <v>93</v>
      </c>
      <c r="D146" s="7" t="s">
        <v>97</v>
      </c>
      <c r="E146" s="10">
        <f t="shared" si="7"/>
        <v>656.56214736842117</v>
      </c>
      <c r="F146" s="10">
        <v>623.73404000000005</v>
      </c>
      <c r="G146" s="10">
        <f t="shared" si="8"/>
        <v>623.73404000000005</v>
      </c>
      <c r="H146" s="10">
        <f>3229.008385-272</f>
        <v>2957.0083850000001</v>
      </c>
    </row>
    <row r="147" spans="1:8">
      <c r="A147" s="18"/>
      <c r="B147" s="18"/>
      <c r="C147" s="18"/>
      <c r="D147" s="18"/>
      <c r="E147" s="9"/>
      <c r="F147" s="9"/>
      <c r="G147" s="9"/>
      <c r="H147" s="9"/>
    </row>
    <row r="148" spans="1:8">
      <c r="A148" s="7" t="s">
        <v>68</v>
      </c>
      <c r="B148" s="7" t="s">
        <v>99</v>
      </c>
      <c r="C148" s="6" t="s">
        <v>89</v>
      </c>
      <c r="D148" s="6" t="s">
        <v>38</v>
      </c>
      <c r="E148" s="9">
        <f t="shared" si="7"/>
        <v>0</v>
      </c>
      <c r="F148" s="9">
        <v>0</v>
      </c>
      <c r="G148" s="9">
        <f t="shared" si="8"/>
        <v>0</v>
      </c>
      <c r="H148" s="9">
        <v>182.33</v>
      </c>
    </row>
    <row r="149" spans="1:8">
      <c r="A149" s="6"/>
      <c r="B149" s="6"/>
      <c r="C149" s="6" t="s">
        <v>90</v>
      </c>
      <c r="D149" s="6" t="s">
        <v>39</v>
      </c>
      <c r="E149" s="9">
        <f t="shared" si="7"/>
        <v>2745.8603157894731</v>
      </c>
      <c r="F149" s="9">
        <v>2608.5672999999992</v>
      </c>
      <c r="G149" s="9">
        <f t="shared" si="8"/>
        <v>2608.5672999999992</v>
      </c>
      <c r="H149" s="9">
        <f>8544.18307-395</f>
        <v>8149.1830699999991</v>
      </c>
    </row>
    <row r="150" spans="1:8">
      <c r="A150" s="6"/>
      <c r="B150" s="6"/>
      <c r="C150" s="6" t="s">
        <v>91</v>
      </c>
      <c r="D150" s="6" t="s">
        <v>40</v>
      </c>
      <c r="E150" s="9">
        <f t="shared" si="7"/>
        <v>10.785789473684209</v>
      </c>
      <c r="F150" s="9">
        <v>10.246499999999999</v>
      </c>
      <c r="G150" s="9">
        <f t="shared" si="8"/>
        <v>10.246499999999999</v>
      </c>
      <c r="H150" s="9">
        <v>1999.7310100000002</v>
      </c>
    </row>
    <row r="151" spans="1:8">
      <c r="A151" s="6"/>
      <c r="B151" s="6"/>
      <c r="C151" s="6" t="s">
        <v>92</v>
      </c>
      <c r="D151" s="6" t="s">
        <v>41</v>
      </c>
      <c r="E151" s="9">
        <f t="shared" si="7"/>
        <v>0</v>
      </c>
      <c r="F151" s="9">
        <v>0</v>
      </c>
      <c r="G151" s="9">
        <f t="shared" si="8"/>
        <v>0</v>
      </c>
      <c r="H151" s="9">
        <f>2284.08382-500</f>
        <v>1784.0838199999998</v>
      </c>
    </row>
    <row r="152" spans="1:8">
      <c r="A152" s="6"/>
      <c r="B152" s="6"/>
      <c r="C152" s="6" t="s">
        <v>125</v>
      </c>
      <c r="D152" s="6" t="s">
        <v>118</v>
      </c>
      <c r="E152" s="9">
        <f t="shared" si="7"/>
        <v>263.30770526315791</v>
      </c>
      <c r="F152" s="9">
        <v>250.14232000000001</v>
      </c>
      <c r="G152" s="9">
        <f t="shared" si="8"/>
        <v>250.14232000000001</v>
      </c>
      <c r="H152" s="9">
        <v>828.65142000000003</v>
      </c>
    </row>
    <row r="153" spans="1:8">
      <c r="A153" s="6"/>
      <c r="B153" s="6"/>
      <c r="C153" s="7" t="s">
        <v>93</v>
      </c>
      <c r="D153" s="7" t="s">
        <v>97</v>
      </c>
      <c r="E153" s="10">
        <f t="shared" si="7"/>
        <v>3019.9538105263155</v>
      </c>
      <c r="F153" s="10">
        <v>2868.9561199999994</v>
      </c>
      <c r="G153" s="10">
        <f t="shared" si="8"/>
        <v>2868.9561199999994</v>
      </c>
      <c r="H153" s="10">
        <f>13838.97932-895</f>
        <v>12943.97932</v>
      </c>
    </row>
    <row r="154" spans="1:8">
      <c r="A154" s="18"/>
      <c r="B154" s="18"/>
      <c r="C154" s="18"/>
      <c r="D154" s="18"/>
      <c r="E154" s="9"/>
      <c r="F154" s="9"/>
      <c r="G154" s="9"/>
      <c r="H154" s="9"/>
    </row>
    <row r="155" spans="1:8">
      <c r="A155" s="7" t="s">
        <v>69</v>
      </c>
      <c r="B155" s="7" t="s">
        <v>19</v>
      </c>
      <c r="C155" s="6" t="s">
        <v>89</v>
      </c>
      <c r="D155" s="6" t="s">
        <v>38</v>
      </c>
      <c r="E155" s="9">
        <f t="shared" si="7"/>
        <v>322.8631578947369</v>
      </c>
      <c r="F155" s="9">
        <v>306.72000000000003</v>
      </c>
      <c r="G155" s="9">
        <f t="shared" si="8"/>
        <v>306.72000000000003</v>
      </c>
      <c r="H155" s="9">
        <f>3911.91632-500</f>
        <v>3411.9163199999998</v>
      </c>
    </row>
    <row r="156" spans="1:8">
      <c r="A156" s="6"/>
      <c r="B156" s="6"/>
      <c r="C156" s="6" t="s">
        <v>90</v>
      </c>
      <c r="D156" s="6" t="s">
        <v>39</v>
      </c>
      <c r="E156" s="9">
        <f t="shared" si="7"/>
        <v>7935.2416842105267</v>
      </c>
      <c r="F156" s="9">
        <v>7538.4795999999997</v>
      </c>
      <c r="G156" s="9">
        <f t="shared" si="8"/>
        <v>7538.4795999999997</v>
      </c>
      <c r="H156" s="9">
        <f>25959.76268-6000</f>
        <v>19959.76268</v>
      </c>
    </row>
    <row r="157" spans="1:8">
      <c r="A157" s="6"/>
      <c r="B157" s="6"/>
      <c r="C157" s="6" t="s">
        <v>91</v>
      </c>
      <c r="D157" s="6" t="s">
        <v>40</v>
      </c>
      <c r="E157" s="9">
        <f t="shared" si="7"/>
        <v>736.84210526315792</v>
      </c>
      <c r="F157" s="9">
        <v>700</v>
      </c>
      <c r="G157" s="9">
        <f t="shared" si="8"/>
        <v>700</v>
      </c>
      <c r="H157" s="9">
        <v>3848.5729999999999</v>
      </c>
    </row>
    <row r="158" spans="1:8">
      <c r="A158" s="6"/>
      <c r="B158" s="6"/>
      <c r="C158" s="6" t="s">
        <v>92</v>
      </c>
      <c r="D158" s="6" t="s">
        <v>41</v>
      </c>
      <c r="E158" s="9">
        <f t="shared" si="7"/>
        <v>0</v>
      </c>
      <c r="F158" s="9">
        <v>0</v>
      </c>
      <c r="G158" s="9">
        <f t="shared" si="8"/>
        <v>0</v>
      </c>
      <c r="H158" s="9">
        <f>2812.6086-531</f>
        <v>2281.6086</v>
      </c>
    </row>
    <row r="159" spans="1:8">
      <c r="A159" s="6"/>
      <c r="B159" s="6"/>
      <c r="C159" s="6" t="s">
        <v>125</v>
      </c>
      <c r="D159" s="6" t="s">
        <v>118</v>
      </c>
      <c r="E159" s="9">
        <f t="shared" si="7"/>
        <v>205.8008747368421</v>
      </c>
      <c r="F159" s="9">
        <v>195.510831</v>
      </c>
      <c r="G159" s="9">
        <f t="shared" si="8"/>
        <v>195.510831</v>
      </c>
      <c r="H159" s="9">
        <f>4791.840831-1500</f>
        <v>3291.8408310000004</v>
      </c>
    </row>
    <row r="160" spans="1:8">
      <c r="A160" s="6"/>
      <c r="B160" s="6"/>
      <c r="C160" s="7" t="s">
        <v>93</v>
      </c>
      <c r="D160" s="7" t="s">
        <v>97</v>
      </c>
      <c r="E160" s="10">
        <f t="shared" si="7"/>
        <v>9200.7478221052625</v>
      </c>
      <c r="F160" s="10">
        <v>8740.7104309999995</v>
      </c>
      <c r="G160" s="10">
        <f t="shared" si="8"/>
        <v>8740.7104309999995</v>
      </c>
      <c r="H160" s="10">
        <f>41324.701431-8531</f>
        <v>32793.701431000001</v>
      </c>
    </row>
    <row r="161" spans="1:8">
      <c r="A161" s="18"/>
      <c r="B161" s="18"/>
      <c r="C161" s="18"/>
      <c r="D161" s="18"/>
      <c r="E161" s="9"/>
      <c r="F161" s="9"/>
      <c r="G161" s="9"/>
      <c r="H161" s="9"/>
    </row>
    <row r="162" spans="1:8">
      <c r="A162" s="8" t="s">
        <v>108</v>
      </c>
      <c r="B162" s="8" t="s">
        <v>107</v>
      </c>
      <c r="C162" s="6" t="s">
        <v>89</v>
      </c>
      <c r="D162" s="6" t="s">
        <v>38</v>
      </c>
      <c r="E162" s="9">
        <f t="shared" si="7"/>
        <v>0</v>
      </c>
      <c r="F162" s="9">
        <v>0</v>
      </c>
      <c r="G162" s="9">
        <f t="shared" si="8"/>
        <v>0</v>
      </c>
      <c r="H162" s="9">
        <v>0</v>
      </c>
    </row>
    <row r="163" spans="1:8">
      <c r="A163" s="6"/>
      <c r="B163" s="6"/>
      <c r="C163" s="6" t="s">
        <v>90</v>
      </c>
      <c r="D163" s="6" t="s">
        <v>39</v>
      </c>
      <c r="E163" s="9">
        <f t="shared" si="7"/>
        <v>0</v>
      </c>
      <c r="F163" s="9">
        <v>0</v>
      </c>
      <c r="G163" s="9">
        <f t="shared" si="8"/>
        <v>0</v>
      </c>
      <c r="H163" s="9">
        <v>10.087619999999999</v>
      </c>
    </row>
    <row r="164" spans="1:8">
      <c r="A164" s="6"/>
      <c r="B164" s="6"/>
      <c r="C164" s="6" t="s">
        <v>91</v>
      </c>
      <c r="D164" s="6" t="s">
        <v>40</v>
      </c>
      <c r="E164" s="9">
        <f t="shared" si="7"/>
        <v>8.3000000000000004E-2</v>
      </c>
      <c r="F164" s="9">
        <v>7.8850000000000003E-2</v>
      </c>
      <c r="G164" s="9">
        <f t="shared" si="8"/>
        <v>7.8850000000000003E-2</v>
      </c>
      <c r="H164" s="9">
        <v>277.47884999999997</v>
      </c>
    </row>
    <row r="165" spans="1:8">
      <c r="A165" s="6"/>
      <c r="B165" s="6"/>
      <c r="C165" s="6" t="s">
        <v>92</v>
      </c>
      <c r="D165" s="6" t="s">
        <v>41</v>
      </c>
      <c r="E165" s="9">
        <f t="shared" si="7"/>
        <v>0</v>
      </c>
      <c r="F165" s="9">
        <v>0</v>
      </c>
      <c r="G165" s="9">
        <f t="shared" si="8"/>
        <v>0</v>
      </c>
      <c r="H165" s="9">
        <v>0</v>
      </c>
    </row>
    <row r="166" spans="1:8">
      <c r="A166" s="6"/>
      <c r="B166" s="6"/>
      <c r="C166" s="6" t="s">
        <v>125</v>
      </c>
      <c r="D166" s="6" t="s">
        <v>118</v>
      </c>
      <c r="E166" s="9">
        <f t="shared" si="7"/>
        <v>0</v>
      </c>
      <c r="F166" s="9">
        <v>0</v>
      </c>
      <c r="G166" s="9">
        <f t="shared" si="8"/>
        <v>0</v>
      </c>
      <c r="H166" s="9">
        <v>0</v>
      </c>
    </row>
    <row r="167" spans="1:8">
      <c r="A167" s="6"/>
      <c r="B167" s="6"/>
      <c r="C167" s="7" t="s">
        <v>93</v>
      </c>
      <c r="D167" s="7" t="s">
        <v>97</v>
      </c>
      <c r="E167" s="10">
        <f t="shared" si="7"/>
        <v>8.3000000000000004E-2</v>
      </c>
      <c r="F167" s="10">
        <v>7.8850000000000003E-2</v>
      </c>
      <c r="G167" s="10">
        <f t="shared" si="8"/>
        <v>7.8850000000000003E-2</v>
      </c>
      <c r="H167" s="10">
        <v>287.56646999999998</v>
      </c>
    </row>
    <row r="168" spans="1:8">
      <c r="A168" s="18"/>
      <c r="B168" s="18"/>
      <c r="C168" s="18"/>
      <c r="D168" s="18"/>
      <c r="E168" s="9"/>
      <c r="F168" s="9"/>
      <c r="G168" s="9"/>
      <c r="H168" s="9"/>
    </row>
    <row r="169" spans="1:8">
      <c r="A169" s="5" t="s">
        <v>65</v>
      </c>
      <c r="B169" s="5" t="s">
        <v>16</v>
      </c>
      <c r="C169" s="6" t="s">
        <v>89</v>
      </c>
      <c r="D169" s="6" t="s">
        <v>38</v>
      </c>
      <c r="E169" s="9">
        <f t="shared" si="7"/>
        <v>322.8631578947369</v>
      </c>
      <c r="F169" s="9">
        <v>306.72000000000003</v>
      </c>
      <c r="G169" s="9">
        <f t="shared" si="8"/>
        <v>306.72000000000003</v>
      </c>
      <c r="H169" s="9">
        <v>3959.9463199999996</v>
      </c>
    </row>
    <row r="170" spans="1:8">
      <c r="A170" s="6"/>
      <c r="B170" s="6"/>
      <c r="C170" s="6" t="s">
        <v>90</v>
      </c>
      <c r="D170" s="6" t="s">
        <v>39</v>
      </c>
      <c r="E170" s="9">
        <f t="shared" si="7"/>
        <v>13120.181157894736</v>
      </c>
      <c r="F170" s="9">
        <v>12464.1721</v>
      </c>
      <c r="G170" s="9">
        <f t="shared" si="8"/>
        <v>12464.1721</v>
      </c>
      <c r="H170" s="9">
        <v>39281.003980000001</v>
      </c>
    </row>
    <row r="171" spans="1:8">
      <c r="A171" s="6"/>
      <c r="B171" s="6"/>
      <c r="C171" s="6" t="s">
        <v>91</v>
      </c>
      <c r="D171" s="6" t="s">
        <v>40</v>
      </c>
      <c r="E171" s="9">
        <f t="shared" si="7"/>
        <v>747.71089473684208</v>
      </c>
      <c r="F171" s="9">
        <v>710.32534999999996</v>
      </c>
      <c r="G171" s="9">
        <f t="shared" si="8"/>
        <v>710.32534999999996</v>
      </c>
      <c r="H171" s="9">
        <v>6128.9728599999999</v>
      </c>
    </row>
    <row r="172" spans="1:8">
      <c r="A172" s="6"/>
      <c r="B172" s="6"/>
      <c r="C172" s="6" t="s">
        <v>92</v>
      </c>
      <c r="D172" s="6" t="s">
        <v>41</v>
      </c>
      <c r="E172" s="9">
        <f t="shared" si="7"/>
        <v>2143.7894736842104</v>
      </c>
      <c r="F172" s="9">
        <v>2036.5999999999997</v>
      </c>
      <c r="G172" s="9">
        <f t="shared" si="8"/>
        <v>2036.5999999999997</v>
      </c>
      <c r="H172" s="9">
        <v>17502.117785000002</v>
      </c>
    </row>
    <row r="173" spans="1:8">
      <c r="A173" s="6"/>
      <c r="B173" s="6"/>
      <c r="C173" s="6" t="s">
        <v>125</v>
      </c>
      <c r="D173" s="6" t="s">
        <v>118</v>
      </c>
      <c r="E173" s="9">
        <f t="shared" si="7"/>
        <v>557.40687684210525</v>
      </c>
      <c r="F173" s="9">
        <v>529.53653299999996</v>
      </c>
      <c r="G173" s="9">
        <f t="shared" si="8"/>
        <v>529.53653299999996</v>
      </c>
      <c r="H173" s="9">
        <v>4256.9456330000003</v>
      </c>
    </row>
    <row r="174" spans="1:8" ht="15" customHeight="1">
      <c r="A174" s="6"/>
      <c r="B174" s="6"/>
      <c r="C174" s="5" t="s">
        <v>93</v>
      </c>
      <c r="D174" s="5" t="s">
        <v>97</v>
      </c>
      <c r="E174" s="11">
        <f t="shared" si="7"/>
        <v>16891.951561052629</v>
      </c>
      <c r="F174" s="11">
        <v>16047.353982999997</v>
      </c>
      <c r="G174" s="11">
        <f t="shared" si="8"/>
        <v>16047.353982999997</v>
      </c>
      <c r="H174" s="11">
        <f>81928.986578-10800</f>
        <v>71128.986577999996</v>
      </c>
    </row>
    <row r="175" spans="1:8">
      <c r="A175" s="18"/>
      <c r="B175" s="18"/>
      <c r="C175" s="18"/>
      <c r="D175" s="18"/>
      <c r="E175" s="18"/>
      <c r="F175" s="9"/>
      <c r="G175" s="9"/>
      <c r="H175" s="9"/>
    </row>
    <row r="176" spans="1:8">
      <c r="A176" s="5" t="s">
        <v>70</v>
      </c>
      <c r="B176" s="5" t="s">
        <v>20</v>
      </c>
      <c r="C176" s="6"/>
      <c r="D176" s="6"/>
      <c r="E176" s="9"/>
      <c r="F176" s="9"/>
      <c r="G176" s="9"/>
      <c r="H176" s="9"/>
    </row>
    <row r="177" spans="1:8">
      <c r="A177" s="8" t="s">
        <v>71</v>
      </c>
      <c r="B177" s="8" t="s">
        <v>21</v>
      </c>
      <c r="C177" s="6" t="s">
        <v>89</v>
      </c>
      <c r="D177" s="6" t="s">
        <v>38</v>
      </c>
      <c r="E177" s="9">
        <f>F177/0.9</f>
        <v>0</v>
      </c>
      <c r="F177" s="9">
        <v>0</v>
      </c>
      <c r="G177" s="9">
        <f t="shared" si="8"/>
        <v>0</v>
      </c>
      <c r="H177" s="9">
        <v>2457.73</v>
      </c>
    </row>
    <row r="178" spans="1:8">
      <c r="A178" s="6"/>
      <c r="B178" s="6"/>
      <c r="C178" s="6" t="s">
        <v>90</v>
      </c>
      <c r="D178" s="6" t="s">
        <v>39</v>
      </c>
      <c r="E178" s="9">
        <f t="shared" ref="E178:E182" si="9">F178/0.9</f>
        <v>3266.4061111111109</v>
      </c>
      <c r="F178" s="9">
        <v>2939.7655</v>
      </c>
      <c r="G178" s="9">
        <f t="shared" si="8"/>
        <v>2939.7655</v>
      </c>
      <c r="H178" s="9">
        <f>19748.25235-2321</f>
        <v>17427.252349999999</v>
      </c>
    </row>
    <row r="179" spans="1:8">
      <c r="A179" s="6"/>
      <c r="B179" s="6"/>
      <c r="C179" s="6" t="s">
        <v>91</v>
      </c>
      <c r="D179" s="6" t="s">
        <v>40</v>
      </c>
      <c r="E179" s="9">
        <f t="shared" si="9"/>
        <v>2.568111111111111</v>
      </c>
      <c r="F179" s="9">
        <v>2.3113000000000001</v>
      </c>
      <c r="G179" s="9">
        <f t="shared" si="8"/>
        <v>2.3113000000000001</v>
      </c>
      <c r="H179" s="9">
        <v>701.24383000000012</v>
      </c>
    </row>
    <row r="180" spans="1:8">
      <c r="A180" s="6"/>
      <c r="B180" s="6"/>
      <c r="C180" s="6" t="s">
        <v>92</v>
      </c>
      <c r="D180" s="6" t="s">
        <v>41</v>
      </c>
      <c r="E180" s="9">
        <f t="shared" si="9"/>
        <v>56.345211111111112</v>
      </c>
      <c r="F180" s="9">
        <v>50.71069</v>
      </c>
      <c r="G180" s="9">
        <f t="shared" si="8"/>
        <v>50.71069</v>
      </c>
      <c r="H180" s="9">
        <v>2103.2491199999999</v>
      </c>
    </row>
    <row r="181" spans="1:8">
      <c r="A181" s="6"/>
      <c r="B181" s="6"/>
      <c r="C181" s="6" t="s">
        <v>125</v>
      </c>
      <c r="D181" s="6" t="s">
        <v>118</v>
      </c>
      <c r="E181" s="9">
        <f t="shared" si="9"/>
        <v>3.1098155555555556</v>
      </c>
      <c r="F181" s="9">
        <v>2.7988340000000003</v>
      </c>
      <c r="G181" s="9">
        <f t="shared" si="8"/>
        <v>2.7988340000000003</v>
      </c>
      <c r="H181" s="9">
        <v>2511.268834</v>
      </c>
    </row>
    <row r="182" spans="1:8">
      <c r="A182" s="6"/>
      <c r="B182" s="6"/>
      <c r="C182" s="7" t="s">
        <v>93</v>
      </c>
      <c r="D182" s="7" t="s">
        <v>97</v>
      </c>
      <c r="E182" s="10">
        <f t="shared" si="9"/>
        <v>3328.4292488888887</v>
      </c>
      <c r="F182" s="10">
        <v>2995.5863239999999</v>
      </c>
      <c r="G182" s="10">
        <f t="shared" si="8"/>
        <v>2995.5863239999999</v>
      </c>
      <c r="H182" s="10">
        <f>27521.744134-2321</f>
        <v>25200.744134</v>
      </c>
    </row>
    <row r="183" spans="1:8">
      <c r="A183" s="18"/>
      <c r="B183" s="18"/>
      <c r="C183" s="18"/>
      <c r="D183" s="18"/>
      <c r="E183" s="18"/>
      <c r="F183" s="9"/>
      <c r="G183" s="9"/>
      <c r="H183" s="9"/>
    </row>
    <row r="184" spans="1:8">
      <c r="A184" s="8" t="s">
        <v>72</v>
      </c>
      <c r="B184" s="8" t="s">
        <v>22</v>
      </c>
      <c r="C184" s="6" t="s">
        <v>89</v>
      </c>
      <c r="D184" s="6" t="s">
        <v>38</v>
      </c>
      <c r="E184" s="9">
        <f>F184/0.95</f>
        <v>0</v>
      </c>
      <c r="F184" s="9">
        <v>0</v>
      </c>
      <c r="G184" s="9">
        <f t="shared" si="8"/>
        <v>0</v>
      </c>
      <c r="H184" s="9">
        <v>246.16</v>
      </c>
    </row>
    <row r="185" spans="1:8">
      <c r="A185" s="6"/>
      <c r="B185" s="6"/>
      <c r="C185" s="6" t="s">
        <v>90</v>
      </c>
      <c r="D185" s="6" t="s">
        <v>39</v>
      </c>
      <c r="E185" s="9">
        <f t="shared" ref="E185:E189" si="10">F185/0.95</f>
        <v>910.22189473684193</v>
      </c>
      <c r="F185" s="9">
        <v>864.71079999999984</v>
      </c>
      <c r="G185" s="9">
        <f t="shared" si="8"/>
        <v>864.71079999999984</v>
      </c>
      <c r="H185" s="9">
        <f>5562.21052-542</f>
        <v>5020.2105199999996</v>
      </c>
    </row>
    <row r="186" spans="1:8">
      <c r="A186" s="6"/>
      <c r="B186" s="6"/>
      <c r="C186" s="6" t="s">
        <v>91</v>
      </c>
      <c r="D186" s="6" t="s">
        <v>40</v>
      </c>
      <c r="E186" s="9">
        <f t="shared" si="10"/>
        <v>0</v>
      </c>
      <c r="F186" s="9">
        <v>0</v>
      </c>
      <c r="G186" s="9">
        <f t="shared" si="8"/>
        <v>0</v>
      </c>
      <c r="H186" s="9">
        <v>202.0702</v>
      </c>
    </row>
    <row r="187" spans="1:8">
      <c r="A187" s="6"/>
      <c r="B187" s="6"/>
      <c r="C187" s="6" t="s">
        <v>92</v>
      </c>
      <c r="D187" s="6" t="s">
        <v>41</v>
      </c>
      <c r="E187" s="9">
        <f t="shared" si="10"/>
        <v>105.34030442105264</v>
      </c>
      <c r="F187" s="9">
        <v>100.0732892</v>
      </c>
      <c r="G187" s="9">
        <f t="shared" si="8"/>
        <v>100.0732892</v>
      </c>
      <c r="H187" s="9">
        <v>294.15708919999997</v>
      </c>
    </row>
    <row r="188" spans="1:8">
      <c r="A188" s="6"/>
      <c r="B188" s="6"/>
      <c r="C188" s="6" t="s">
        <v>125</v>
      </c>
      <c r="D188" s="6" t="s">
        <v>118</v>
      </c>
      <c r="E188" s="9">
        <f t="shared" si="10"/>
        <v>25.207178947368426</v>
      </c>
      <c r="F188" s="9">
        <v>23.946820000000002</v>
      </c>
      <c r="G188" s="9">
        <f t="shared" si="8"/>
        <v>23.946820000000002</v>
      </c>
      <c r="H188" s="9">
        <v>31.086820000000003</v>
      </c>
    </row>
    <row r="189" spans="1:8">
      <c r="A189" s="6"/>
      <c r="B189" s="6"/>
      <c r="C189" s="7" t="s">
        <v>93</v>
      </c>
      <c r="D189" s="7" t="s">
        <v>97</v>
      </c>
      <c r="E189" s="10">
        <f t="shared" si="10"/>
        <v>1040.7693781052631</v>
      </c>
      <c r="F189" s="10">
        <v>988.73090919999981</v>
      </c>
      <c r="G189" s="10">
        <f t="shared" si="8"/>
        <v>988.73090919999981</v>
      </c>
      <c r="H189" s="10">
        <f>6335.6846292-542</f>
        <v>5793.6846292</v>
      </c>
    </row>
    <row r="190" spans="1:8">
      <c r="A190" s="18"/>
      <c r="B190" s="18"/>
      <c r="C190" s="18"/>
      <c r="D190" s="18"/>
      <c r="E190" s="18"/>
      <c r="F190" s="9"/>
      <c r="G190" s="9"/>
      <c r="H190" s="9"/>
    </row>
    <row r="191" spans="1:8">
      <c r="A191" s="8" t="s">
        <v>73</v>
      </c>
      <c r="B191" s="8" t="s">
        <v>23</v>
      </c>
      <c r="C191" s="6" t="s">
        <v>89</v>
      </c>
      <c r="D191" s="6" t="s">
        <v>38</v>
      </c>
      <c r="E191" s="9">
        <f>F191/0.9</f>
        <v>170.69939444444444</v>
      </c>
      <c r="F191" s="9">
        <v>153.62945500000001</v>
      </c>
      <c r="G191" s="9">
        <f t="shared" si="8"/>
        <v>153.62945500000001</v>
      </c>
      <c r="H191" s="2">
        <v>8576.1539549999943</v>
      </c>
    </row>
    <row r="192" spans="1:8">
      <c r="A192" s="6"/>
      <c r="B192" s="6"/>
      <c r="C192" s="6" t="s">
        <v>90</v>
      </c>
      <c r="D192" s="6" t="s">
        <v>39</v>
      </c>
      <c r="E192" s="9">
        <f t="shared" ref="E192:E196" si="11">F192/0.9</f>
        <v>4362.6611111111097</v>
      </c>
      <c r="F192" s="9">
        <v>3926.3949999999991</v>
      </c>
      <c r="G192" s="9">
        <f t="shared" si="8"/>
        <v>3926.3949999999991</v>
      </c>
      <c r="H192" s="9">
        <v>19610.112730000001</v>
      </c>
    </row>
    <row r="193" spans="1:8">
      <c r="A193" s="6"/>
      <c r="B193" s="6"/>
      <c r="C193" s="6" t="s">
        <v>91</v>
      </c>
      <c r="D193" s="6" t="s">
        <v>40</v>
      </c>
      <c r="E193" s="9">
        <f t="shared" si="11"/>
        <v>67.48322222222221</v>
      </c>
      <c r="F193" s="9">
        <v>60.734899999999996</v>
      </c>
      <c r="G193" s="9">
        <f t="shared" si="8"/>
        <v>60.734899999999996</v>
      </c>
      <c r="H193" s="9">
        <v>1046.432045</v>
      </c>
    </row>
    <row r="194" spans="1:8">
      <c r="A194" s="6"/>
      <c r="B194" s="6"/>
      <c r="C194" s="6" t="s">
        <v>92</v>
      </c>
      <c r="D194" s="6" t="s">
        <v>41</v>
      </c>
      <c r="E194" s="9">
        <f t="shared" si="11"/>
        <v>930.18299999999999</v>
      </c>
      <c r="F194" s="9">
        <v>837.16470000000004</v>
      </c>
      <c r="G194" s="9">
        <f t="shared" si="8"/>
        <v>837.16470000000004</v>
      </c>
      <c r="H194" s="9">
        <v>12112.387499499999</v>
      </c>
    </row>
    <row r="195" spans="1:8">
      <c r="A195" s="6"/>
      <c r="B195" s="6"/>
      <c r="C195" s="6" t="s">
        <v>125</v>
      </c>
      <c r="D195" s="6" t="s">
        <v>118</v>
      </c>
      <c r="E195" s="9">
        <f t="shared" si="11"/>
        <v>400.28733333333332</v>
      </c>
      <c r="F195" s="9">
        <v>360.2586</v>
      </c>
      <c r="G195" s="9">
        <f t="shared" si="8"/>
        <v>360.2586</v>
      </c>
      <c r="H195" s="9">
        <v>1812.3458000000001</v>
      </c>
    </row>
    <row r="196" spans="1:8">
      <c r="A196" s="6"/>
      <c r="B196" s="6"/>
      <c r="C196" s="7" t="s">
        <v>93</v>
      </c>
      <c r="D196" s="7" t="s">
        <v>97</v>
      </c>
      <c r="E196" s="10">
        <f t="shared" si="11"/>
        <v>5931.3140611111103</v>
      </c>
      <c r="F196" s="10">
        <v>5338.1826549999996</v>
      </c>
      <c r="G196" s="10">
        <f t="shared" si="8"/>
        <v>5338.1826549999996</v>
      </c>
      <c r="H196" s="10">
        <f>45956.4320295-2799</f>
        <v>43157.4320295</v>
      </c>
    </row>
    <row r="197" spans="1:8">
      <c r="A197" s="18"/>
      <c r="B197" s="18"/>
      <c r="C197" s="18"/>
      <c r="D197" s="18"/>
      <c r="E197" s="18"/>
      <c r="F197" s="9"/>
      <c r="G197" s="9"/>
      <c r="H197" s="9"/>
    </row>
    <row r="198" spans="1:8">
      <c r="A198" s="8" t="s">
        <v>74</v>
      </c>
      <c r="B198" s="8" t="s">
        <v>24</v>
      </c>
      <c r="C198" s="6" t="s">
        <v>89</v>
      </c>
      <c r="D198" s="6" t="s">
        <v>38</v>
      </c>
      <c r="E198" s="9">
        <f>F198/0.95</f>
        <v>0</v>
      </c>
      <c r="F198" s="9">
        <v>0</v>
      </c>
      <c r="G198" s="9">
        <f t="shared" si="8"/>
        <v>0</v>
      </c>
      <c r="H198" s="9">
        <v>29.6</v>
      </c>
    </row>
    <row r="199" spans="1:8">
      <c r="A199" s="6"/>
      <c r="B199" s="6"/>
      <c r="C199" s="6" t="s">
        <v>90</v>
      </c>
      <c r="D199" s="6" t="s">
        <v>39</v>
      </c>
      <c r="E199" s="9">
        <f t="shared" ref="E199:E203" si="12">F199/0.95</f>
        <v>319.0896842105264</v>
      </c>
      <c r="F199" s="9">
        <v>303.13520000000005</v>
      </c>
      <c r="G199" s="9">
        <f t="shared" si="8"/>
        <v>303.13520000000005</v>
      </c>
      <c r="H199" s="9">
        <v>1646.6573800000001</v>
      </c>
    </row>
    <row r="200" spans="1:8">
      <c r="A200" s="6"/>
      <c r="B200" s="6"/>
      <c r="C200" s="6" t="s">
        <v>91</v>
      </c>
      <c r="D200" s="6" t="s">
        <v>40</v>
      </c>
      <c r="E200" s="9">
        <f t="shared" si="12"/>
        <v>274.78598947368425</v>
      </c>
      <c r="F200" s="9">
        <v>261.04669000000001</v>
      </c>
      <c r="G200" s="9">
        <f t="shared" si="8"/>
        <v>261.04669000000001</v>
      </c>
      <c r="H200" s="9">
        <f>1931.86869-526</f>
        <v>1405.86869</v>
      </c>
    </row>
    <row r="201" spans="1:8">
      <c r="A201" s="6"/>
      <c r="B201" s="6"/>
      <c r="C201" s="6" t="s">
        <v>92</v>
      </c>
      <c r="D201" s="6" t="s">
        <v>41</v>
      </c>
      <c r="E201" s="9">
        <f t="shared" si="12"/>
        <v>0</v>
      </c>
      <c r="F201" s="9">
        <v>0</v>
      </c>
      <c r="G201" s="9">
        <f t="shared" si="8"/>
        <v>0</v>
      </c>
      <c r="H201" s="9">
        <v>369.43970000000002</v>
      </c>
    </row>
    <row r="202" spans="1:8">
      <c r="A202" s="6"/>
      <c r="B202" s="6"/>
      <c r="C202" s="6" t="s">
        <v>125</v>
      </c>
      <c r="D202" s="6" t="s">
        <v>118</v>
      </c>
      <c r="E202" s="9">
        <f t="shared" si="12"/>
        <v>0</v>
      </c>
      <c r="F202" s="9">
        <v>0</v>
      </c>
      <c r="G202" s="9">
        <f t="shared" si="8"/>
        <v>0</v>
      </c>
      <c r="H202" s="9">
        <v>0</v>
      </c>
    </row>
    <row r="203" spans="1:8">
      <c r="A203" s="6"/>
      <c r="B203" s="6"/>
      <c r="C203" s="7" t="s">
        <v>93</v>
      </c>
      <c r="D203" s="7" t="s">
        <v>97</v>
      </c>
      <c r="E203" s="10">
        <f t="shared" si="12"/>
        <v>593.8756736842106</v>
      </c>
      <c r="F203" s="10">
        <v>564.18189000000007</v>
      </c>
      <c r="G203" s="10">
        <f t="shared" si="8"/>
        <v>564.18189000000007</v>
      </c>
      <c r="H203" s="10">
        <f>3977.56577-526</f>
        <v>3451.5657700000002</v>
      </c>
    </row>
    <row r="204" spans="1:8">
      <c r="A204" s="18"/>
      <c r="B204" s="18"/>
      <c r="C204" s="18"/>
      <c r="D204" s="18"/>
      <c r="E204" s="18"/>
      <c r="F204" s="9"/>
      <c r="G204" s="9"/>
      <c r="H204" s="9"/>
    </row>
    <row r="205" spans="1:8">
      <c r="A205" s="5" t="s">
        <v>70</v>
      </c>
      <c r="B205" s="5" t="s">
        <v>20</v>
      </c>
      <c r="C205" s="6" t="s">
        <v>89</v>
      </c>
      <c r="D205" s="6" t="s">
        <v>38</v>
      </c>
      <c r="E205" s="9">
        <f>E198+E191+E184+E177</f>
        <v>170.69939444444444</v>
      </c>
      <c r="F205" s="9">
        <v>153.62945500000001</v>
      </c>
      <c r="G205" s="9">
        <f t="shared" si="8"/>
        <v>153.62945500000001</v>
      </c>
      <c r="H205" s="9">
        <v>11309.643955</v>
      </c>
    </row>
    <row r="206" spans="1:8">
      <c r="A206" s="6"/>
      <c r="B206" s="6"/>
      <c r="C206" s="6" t="s">
        <v>90</v>
      </c>
      <c r="D206" s="6" t="s">
        <v>39</v>
      </c>
      <c r="E206" s="9">
        <f t="shared" ref="E206:E210" si="13">E199+E192+E185+E178</f>
        <v>8858.3788011695888</v>
      </c>
      <c r="F206" s="9">
        <v>8034.0064999999995</v>
      </c>
      <c r="G206" s="9">
        <f t="shared" ref="G206:G269" si="14">F206</f>
        <v>8034.0064999999995</v>
      </c>
      <c r="H206" s="9">
        <v>43704.232980000001</v>
      </c>
    </row>
    <row r="207" spans="1:8">
      <c r="A207" s="6"/>
      <c r="B207" s="6"/>
      <c r="C207" s="6" t="s">
        <v>91</v>
      </c>
      <c r="D207" s="6" t="s">
        <v>40</v>
      </c>
      <c r="E207" s="9">
        <f t="shared" si="13"/>
        <v>344.83732280701759</v>
      </c>
      <c r="F207" s="9">
        <v>324.09289000000001</v>
      </c>
      <c r="G207" s="9">
        <f t="shared" si="14"/>
        <v>324.09289000000001</v>
      </c>
      <c r="H207" s="9">
        <v>3355.6147650000003</v>
      </c>
    </row>
    <row r="208" spans="1:8">
      <c r="A208" s="6"/>
      <c r="B208" s="6"/>
      <c r="C208" s="6" t="s">
        <v>92</v>
      </c>
      <c r="D208" s="6" t="s">
        <v>41</v>
      </c>
      <c r="E208" s="9">
        <f t="shared" si="13"/>
        <v>1091.8685155321639</v>
      </c>
      <c r="F208" s="9">
        <v>987.94867920000002</v>
      </c>
      <c r="G208" s="9">
        <f t="shared" si="14"/>
        <v>987.94867920000002</v>
      </c>
      <c r="H208" s="9">
        <v>14879.2334087</v>
      </c>
    </row>
    <row r="209" spans="1:8">
      <c r="A209" s="6"/>
      <c r="B209" s="6"/>
      <c r="C209" s="6" t="s">
        <v>125</v>
      </c>
      <c r="D209" s="6" t="s">
        <v>118</v>
      </c>
      <c r="E209" s="9">
        <f t="shared" si="13"/>
        <v>428.60432783625731</v>
      </c>
      <c r="F209" s="9">
        <v>387.004254</v>
      </c>
      <c r="G209" s="9">
        <f t="shared" si="14"/>
        <v>387.004254</v>
      </c>
      <c r="H209" s="9">
        <v>4354.701454</v>
      </c>
    </row>
    <row r="210" spans="1:8">
      <c r="A210" s="6"/>
      <c r="B210" s="6"/>
      <c r="C210" s="5" t="s">
        <v>93</v>
      </c>
      <c r="D210" s="5" t="s">
        <v>97</v>
      </c>
      <c r="E210" s="11">
        <f t="shared" si="13"/>
        <v>10894.388361789472</v>
      </c>
      <c r="F210" s="11">
        <v>9886.6817781999998</v>
      </c>
      <c r="G210" s="11">
        <f t="shared" si="14"/>
        <v>9886.6817781999998</v>
      </c>
      <c r="H210" s="11">
        <f>83791.4265627-6188</f>
        <v>77603.426562699999</v>
      </c>
    </row>
    <row r="211" spans="1:8">
      <c r="A211" s="18"/>
      <c r="B211" s="18"/>
      <c r="C211" s="18"/>
      <c r="D211" s="18"/>
      <c r="E211" s="18"/>
      <c r="F211" s="9"/>
      <c r="G211" s="9"/>
      <c r="H211" s="9"/>
    </row>
    <row r="212" spans="1:8">
      <c r="A212" s="5" t="s">
        <v>75</v>
      </c>
      <c r="B212" s="5" t="s">
        <v>25</v>
      </c>
      <c r="C212" s="6"/>
      <c r="D212" s="6"/>
      <c r="E212" s="9"/>
      <c r="F212" s="9"/>
      <c r="G212" s="9"/>
      <c r="H212" s="9"/>
    </row>
    <row r="213" spans="1:8">
      <c r="A213" s="8" t="s">
        <v>109</v>
      </c>
      <c r="B213" s="8" t="s">
        <v>110</v>
      </c>
      <c r="C213" s="6" t="s">
        <v>89</v>
      </c>
      <c r="D213" s="6" t="s">
        <v>38</v>
      </c>
      <c r="E213" s="9">
        <f>+F213/0.9</f>
        <v>0</v>
      </c>
      <c r="F213" s="9">
        <v>0</v>
      </c>
      <c r="G213" s="9">
        <f t="shared" si="14"/>
        <v>0</v>
      </c>
      <c r="H213" s="9">
        <v>0</v>
      </c>
    </row>
    <row r="214" spans="1:8">
      <c r="A214" s="6"/>
      <c r="B214" s="6"/>
      <c r="C214" s="6" t="s">
        <v>90</v>
      </c>
      <c r="D214" s="6" t="s">
        <v>39</v>
      </c>
      <c r="E214" s="9">
        <f t="shared" ref="E214:E246" si="15">+F214/0.9</f>
        <v>57.330999999999996</v>
      </c>
      <c r="F214" s="9">
        <v>51.597899999999996</v>
      </c>
      <c r="G214" s="9">
        <f t="shared" si="14"/>
        <v>51.597899999999996</v>
      </c>
      <c r="H214" s="9">
        <f>217.51716-4</f>
        <v>213.51715999999999</v>
      </c>
    </row>
    <row r="215" spans="1:8">
      <c r="A215" s="6"/>
      <c r="B215" s="6"/>
      <c r="C215" s="6" t="s">
        <v>91</v>
      </c>
      <c r="D215" s="6" t="s">
        <v>40</v>
      </c>
      <c r="E215" s="9">
        <f t="shared" si="15"/>
        <v>0</v>
      </c>
      <c r="F215" s="9">
        <v>0</v>
      </c>
      <c r="G215" s="9">
        <f t="shared" si="14"/>
        <v>0</v>
      </c>
      <c r="H215" s="9">
        <v>1.23</v>
      </c>
    </row>
    <row r="216" spans="1:8">
      <c r="A216" s="6"/>
      <c r="B216" s="6"/>
      <c r="C216" s="6" t="s">
        <v>92</v>
      </c>
      <c r="D216" s="6" t="s">
        <v>41</v>
      </c>
      <c r="E216" s="9">
        <f t="shared" si="15"/>
        <v>0</v>
      </c>
      <c r="F216" s="9">
        <v>0</v>
      </c>
      <c r="G216" s="9">
        <f t="shared" si="14"/>
        <v>0</v>
      </c>
      <c r="H216" s="9">
        <v>0</v>
      </c>
    </row>
    <row r="217" spans="1:8">
      <c r="A217" s="6"/>
      <c r="B217" s="6"/>
      <c r="C217" s="6" t="s">
        <v>125</v>
      </c>
      <c r="D217" s="6" t="s">
        <v>118</v>
      </c>
      <c r="E217" s="9">
        <f t="shared" si="15"/>
        <v>0</v>
      </c>
      <c r="F217" s="9">
        <v>0</v>
      </c>
      <c r="G217" s="9">
        <f t="shared" si="14"/>
        <v>0</v>
      </c>
      <c r="H217" s="9">
        <v>0</v>
      </c>
    </row>
    <row r="218" spans="1:8">
      <c r="A218" s="6"/>
      <c r="B218" s="6"/>
      <c r="C218" s="7" t="s">
        <v>93</v>
      </c>
      <c r="D218" s="7" t="s">
        <v>97</v>
      </c>
      <c r="E218" s="10">
        <f t="shared" si="15"/>
        <v>57.330999999999996</v>
      </c>
      <c r="F218" s="10">
        <v>51.597899999999996</v>
      </c>
      <c r="G218" s="10">
        <f t="shared" si="14"/>
        <v>51.597899999999996</v>
      </c>
      <c r="H218" s="10">
        <f>218.74716-4</f>
        <v>214.74716000000001</v>
      </c>
    </row>
    <row r="219" spans="1:8">
      <c r="A219" s="18"/>
      <c r="B219" s="18"/>
      <c r="C219" s="18"/>
      <c r="D219" s="18"/>
      <c r="E219" s="9"/>
      <c r="F219" s="9"/>
      <c r="G219" s="9"/>
      <c r="H219" s="9"/>
    </row>
    <row r="220" spans="1:8">
      <c r="A220" s="8" t="s">
        <v>76</v>
      </c>
      <c r="B220" s="8" t="s">
        <v>26</v>
      </c>
      <c r="C220" s="6" t="s">
        <v>89</v>
      </c>
      <c r="D220" s="6" t="s">
        <v>38</v>
      </c>
      <c r="E220" s="9">
        <f t="shared" si="15"/>
        <v>0</v>
      </c>
      <c r="F220" s="9">
        <v>0</v>
      </c>
      <c r="G220" s="9">
        <f t="shared" si="14"/>
        <v>0</v>
      </c>
      <c r="H220" s="9">
        <v>0</v>
      </c>
    </row>
    <row r="221" spans="1:8">
      <c r="A221" s="6"/>
      <c r="B221" s="6"/>
      <c r="C221" s="6" t="s">
        <v>90</v>
      </c>
      <c r="D221" s="6" t="s">
        <v>39</v>
      </c>
      <c r="E221" s="9">
        <f t="shared" si="15"/>
        <v>83.89722222222224</v>
      </c>
      <c r="F221" s="9">
        <v>75.507500000000022</v>
      </c>
      <c r="G221" s="9">
        <f t="shared" si="14"/>
        <v>75.507500000000022</v>
      </c>
      <c r="H221" s="9">
        <f>813.93419-20</f>
        <v>793.93418999999994</v>
      </c>
    </row>
    <row r="222" spans="1:8">
      <c r="A222" s="6"/>
      <c r="B222" s="6"/>
      <c r="C222" s="6" t="s">
        <v>91</v>
      </c>
      <c r="D222" s="6" t="s">
        <v>40</v>
      </c>
      <c r="E222" s="9">
        <f t="shared" si="15"/>
        <v>0</v>
      </c>
      <c r="F222" s="9">
        <v>0</v>
      </c>
      <c r="G222" s="9">
        <f t="shared" si="14"/>
        <v>0</v>
      </c>
      <c r="H222" s="9">
        <f>69.16-6</f>
        <v>63.16</v>
      </c>
    </row>
    <row r="223" spans="1:8">
      <c r="A223" s="6"/>
      <c r="B223" s="6"/>
      <c r="C223" s="6" t="s">
        <v>92</v>
      </c>
      <c r="D223" s="6" t="s">
        <v>41</v>
      </c>
      <c r="E223" s="9">
        <f t="shared" si="15"/>
        <v>0</v>
      </c>
      <c r="F223" s="9">
        <v>0</v>
      </c>
      <c r="G223" s="9">
        <f t="shared" si="14"/>
        <v>0</v>
      </c>
      <c r="H223" s="9">
        <v>0</v>
      </c>
    </row>
    <row r="224" spans="1:8">
      <c r="A224" s="6"/>
      <c r="B224" s="6"/>
      <c r="C224" s="6" t="s">
        <v>125</v>
      </c>
      <c r="D224" s="6" t="s">
        <v>118</v>
      </c>
      <c r="E224" s="9">
        <f t="shared" si="15"/>
        <v>0</v>
      </c>
      <c r="F224" s="9">
        <v>0</v>
      </c>
      <c r="G224" s="9">
        <f t="shared" si="14"/>
        <v>0</v>
      </c>
      <c r="H224" s="9">
        <v>0</v>
      </c>
    </row>
    <row r="225" spans="1:8">
      <c r="A225" s="6"/>
      <c r="B225" s="6"/>
      <c r="C225" s="7" t="s">
        <v>93</v>
      </c>
      <c r="D225" s="7" t="s">
        <v>97</v>
      </c>
      <c r="E225" s="10">
        <f t="shared" si="15"/>
        <v>83.89722222222224</v>
      </c>
      <c r="F225" s="10">
        <v>75.507500000000022</v>
      </c>
      <c r="G225" s="10">
        <f t="shared" si="14"/>
        <v>75.507500000000022</v>
      </c>
      <c r="H225" s="10">
        <f>883.09419-26</f>
        <v>857.09419000000003</v>
      </c>
    </row>
    <row r="226" spans="1:8">
      <c r="A226" s="18"/>
      <c r="B226" s="18"/>
      <c r="C226" s="18"/>
      <c r="D226" s="18"/>
      <c r="E226" s="9"/>
      <c r="F226" s="9"/>
      <c r="G226" s="9"/>
      <c r="H226" s="9"/>
    </row>
    <row r="227" spans="1:8">
      <c r="A227" s="8" t="s">
        <v>77</v>
      </c>
      <c r="B227" s="8" t="s">
        <v>27</v>
      </c>
      <c r="C227" s="6" t="s">
        <v>89</v>
      </c>
      <c r="D227" s="6" t="s">
        <v>38</v>
      </c>
      <c r="E227" s="9">
        <f t="shared" si="15"/>
        <v>0</v>
      </c>
      <c r="F227" s="9">
        <v>0</v>
      </c>
      <c r="G227" s="9">
        <f t="shared" si="14"/>
        <v>0</v>
      </c>
      <c r="H227" s="9">
        <v>1853.7</v>
      </c>
    </row>
    <row r="228" spans="1:8">
      <c r="A228" s="6"/>
      <c r="B228" s="6"/>
      <c r="C228" s="6" t="s">
        <v>90</v>
      </c>
      <c r="D228" s="6" t="s">
        <v>39</v>
      </c>
      <c r="E228" s="9">
        <f t="shared" si="15"/>
        <v>9622.6838888888924</v>
      </c>
      <c r="F228" s="9">
        <v>8660.4155000000028</v>
      </c>
      <c r="G228" s="9">
        <f t="shared" si="14"/>
        <v>8660.4155000000028</v>
      </c>
      <c r="H228" s="9">
        <f>37772.59205-6644</f>
        <v>31128.592049999999</v>
      </c>
    </row>
    <row r="229" spans="1:8">
      <c r="A229" s="6"/>
      <c r="B229" s="6"/>
      <c r="C229" s="6" t="s">
        <v>91</v>
      </c>
      <c r="D229" s="6" t="s">
        <v>40</v>
      </c>
      <c r="E229" s="9">
        <f t="shared" si="15"/>
        <v>729.20363366666663</v>
      </c>
      <c r="F229" s="9">
        <v>656.28327030000003</v>
      </c>
      <c r="G229" s="9">
        <f t="shared" si="14"/>
        <v>656.28327030000003</v>
      </c>
      <c r="H229" s="9">
        <v>9774.8140103000005</v>
      </c>
    </row>
    <row r="230" spans="1:8">
      <c r="A230" s="6"/>
      <c r="B230" s="6"/>
      <c r="C230" s="6" t="s">
        <v>92</v>
      </c>
      <c r="D230" s="6" t="s">
        <v>41</v>
      </c>
      <c r="E230" s="9">
        <f t="shared" si="15"/>
        <v>73.454366666666672</v>
      </c>
      <c r="F230" s="9">
        <v>66.108930000000001</v>
      </c>
      <c r="G230" s="9">
        <f t="shared" si="14"/>
        <v>66.108930000000001</v>
      </c>
      <c r="H230" s="9">
        <v>1583.4834900000001</v>
      </c>
    </row>
    <row r="231" spans="1:8">
      <c r="A231" s="6"/>
      <c r="B231" s="6"/>
      <c r="C231" s="6" t="s">
        <v>125</v>
      </c>
      <c r="D231" s="6" t="s">
        <v>118</v>
      </c>
      <c r="E231" s="9">
        <f t="shared" si="15"/>
        <v>137.7198888888889</v>
      </c>
      <c r="F231" s="9">
        <v>123.9479</v>
      </c>
      <c r="G231" s="9">
        <f t="shared" si="14"/>
        <v>123.9479</v>
      </c>
      <c r="H231" s="9">
        <v>542.43920000000003</v>
      </c>
    </row>
    <row r="232" spans="1:8">
      <c r="A232" s="6"/>
      <c r="B232" s="6"/>
      <c r="C232" s="7" t="s">
        <v>93</v>
      </c>
      <c r="D232" s="7" t="s">
        <v>97</v>
      </c>
      <c r="E232" s="10">
        <f t="shared" si="15"/>
        <v>10563.061778111114</v>
      </c>
      <c r="F232" s="10">
        <v>9506.7556003000027</v>
      </c>
      <c r="G232" s="10">
        <f t="shared" si="14"/>
        <v>9506.7556003000027</v>
      </c>
      <c r="H232" s="10">
        <f>51527.0287503-6644</f>
        <v>44883.0287503</v>
      </c>
    </row>
    <row r="233" spans="1:8">
      <c r="A233" s="18"/>
      <c r="B233" s="18"/>
      <c r="C233" s="18"/>
      <c r="D233" s="18"/>
      <c r="E233" s="9"/>
      <c r="F233" s="9"/>
      <c r="G233" s="9"/>
      <c r="H233" s="9"/>
    </row>
    <row r="234" spans="1:8">
      <c r="A234" s="8" t="s">
        <v>78</v>
      </c>
      <c r="B234" s="8" t="s">
        <v>28</v>
      </c>
      <c r="C234" s="6" t="s">
        <v>89</v>
      </c>
      <c r="D234" s="6" t="s">
        <v>38</v>
      </c>
      <c r="E234" s="9">
        <f t="shared" si="15"/>
        <v>0</v>
      </c>
      <c r="F234" s="9">
        <v>0</v>
      </c>
      <c r="G234" s="9">
        <f t="shared" si="14"/>
        <v>0</v>
      </c>
      <c r="H234" s="9">
        <v>1514.75</v>
      </c>
    </row>
    <row r="235" spans="1:8">
      <c r="A235" s="6"/>
      <c r="B235" s="6"/>
      <c r="C235" s="6" t="s">
        <v>90</v>
      </c>
      <c r="D235" s="6" t="s">
        <v>39</v>
      </c>
      <c r="E235" s="9">
        <f t="shared" si="15"/>
        <v>13105.335999999999</v>
      </c>
      <c r="F235" s="9">
        <v>11794.8024</v>
      </c>
      <c r="G235" s="9">
        <f t="shared" si="14"/>
        <v>11794.8024</v>
      </c>
      <c r="H235" s="9">
        <f>56566.5116-8438</f>
        <v>48128.511599999998</v>
      </c>
    </row>
    <row r="236" spans="1:8">
      <c r="A236" s="6"/>
      <c r="B236" s="6"/>
      <c r="C236" s="6" t="s">
        <v>91</v>
      </c>
      <c r="D236" s="6" t="s">
        <v>40</v>
      </c>
      <c r="E236" s="9">
        <f t="shared" si="15"/>
        <v>2452.6594444444445</v>
      </c>
      <c r="F236" s="9">
        <v>2207.3935000000001</v>
      </c>
      <c r="G236" s="9">
        <f t="shared" si="14"/>
        <v>2207.3935000000001</v>
      </c>
      <c r="H236" s="9">
        <v>9866.9537700000001</v>
      </c>
    </row>
    <row r="237" spans="1:8">
      <c r="A237" s="6"/>
      <c r="B237" s="6"/>
      <c r="C237" s="6" t="s">
        <v>92</v>
      </c>
      <c r="D237" s="6" t="s">
        <v>41</v>
      </c>
      <c r="E237" s="9">
        <f t="shared" si="15"/>
        <v>664.44444444444446</v>
      </c>
      <c r="F237" s="9">
        <v>598</v>
      </c>
      <c r="G237" s="9">
        <f t="shared" si="14"/>
        <v>598</v>
      </c>
      <c r="H237" s="9">
        <v>3333.4611</v>
      </c>
    </row>
    <row r="238" spans="1:8">
      <c r="A238" s="6"/>
      <c r="B238" s="6"/>
      <c r="C238" s="6" t="s">
        <v>125</v>
      </c>
      <c r="D238" s="6" t="s">
        <v>118</v>
      </c>
      <c r="E238" s="9">
        <f t="shared" si="15"/>
        <v>5783.3378544444431</v>
      </c>
      <c r="F238" s="9">
        <v>5205.0040689999987</v>
      </c>
      <c r="G238" s="9">
        <f t="shared" si="14"/>
        <v>5205.0040689999987</v>
      </c>
      <c r="H238" s="9">
        <v>20567.419069</v>
      </c>
    </row>
    <row r="239" spans="1:8">
      <c r="A239" s="6"/>
      <c r="B239" s="6"/>
      <c r="C239" s="7" t="s">
        <v>93</v>
      </c>
      <c r="D239" s="7" t="s">
        <v>97</v>
      </c>
      <c r="E239" s="10">
        <f t="shared" si="15"/>
        <v>22005.777743333336</v>
      </c>
      <c r="F239" s="10">
        <v>19805.199969000001</v>
      </c>
      <c r="G239" s="10">
        <f t="shared" si="14"/>
        <v>19805.199969000001</v>
      </c>
      <c r="H239" s="10">
        <f>91849.095539-8438</f>
        <v>83411.095539000002</v>
      </c>
    </row>
    <row r="240" spans="1:8">
      <c r="A240" s="18"/>
      <c r="B240" s="18"/>
      <c r="C240" s="18"/>
      <c r="D240" s="18"/>
      <c r="E240" s="9"/>
      <c r="F240" s="9"/>
      <c r="G240" s="9"/>
      <c r="H240" s="9"/>
    </row>
    <row r="241" spans="1:8">
      <c r="A241" s="4" t="s">
        <v>79</v>
      </c>
      <c r="B241" s="4" t="s">
        <v>25</v>
      </c>
      <c r="C241" s="6" t="s">
        <v>89</v>
      </c>
      <c r="D241" s="6" t="s">
        <v>38</v>
      </c>
      <c r="E241" s="9">
        <f t="shared" si="15"/>
        <v>0</v>
      </c>
      <c r="F241" s="9">
        <v>0</v>
      </c>
      <c r="G241" s="9">
        <f t="shared" si="14"/>
        <v>0</v>
      </c>
      <c r="H241" s="9">
        <v>3581.9671599999997</v>
      </c>
    </row>
    <row r="242" spans="1:8">
      <c r="A242" s="6"/>
      <c r="B242" s="6"/>
      <c r="C242" s="6" t="s">
        <v>90</v>
      </c>
      <c r="D242" s="6" t="s">
        <v>39</v>
      </c>
      <c r="E242" s="9">
        <f t="shared" si="15"/>
        <v>22869.248111111116</v>
      </c>
      <c r="F242" s="9">
        <v>20582.323300000004</v>
      </c>
      <c r="G242" s="9">
        <f t="shared" si="14"/>
        <v>20582.323300000004</v>
      </c>
      <c r="H242" s="9">
        <v>80052.26784</v>
      </c>
    </row>
    <row r="243" spans="1:8">
      <c r="A243" s="6"/>
      <c r="B243" s="6"/>
      <c r="C243" s="6" t="s">
        <v>91</v>
      </c>
      <c r="D243" s="6" t="s">
        <v>40</v>
      </c>
      <c r="E243" s="9">
        <f t="shared" si="15"/>
        <v>3181.863078111111</v>
      </c>
      <c r="F243" s="9">
        <v>2863.6767703</v>
      </c>
      <c r="G243" s="9">
        <f t="shared" si="14"/>
        <v>2863.6767703</v>
      </c>
      <c r="H243" s="9">
        <v>19704.9277803</v>
      </c>
    </row>
    <row r="244" spans="1:8">
      <c r="A244" s="6"/>
      <c r="B244" s="6"/>
      <c r="C244" s="6" t="s">
        <v>92</v>
      </c>
      <c r="D244" s="6" t="s">
        <v>41</v>
      </c>
      <c r="E244" s="9">
        <f t="shared" si="15"/>
        <v>737.89881111111106</v>
      </c>
      <c r="F244" s="9">
        <v>664.10892999999999</v>
      </c>
      <c r="G244" s="9">
        <f t="shared" si="14"/>
        <v>664.10892999999999</v>
      </c>
      <c r="H244" s="9">
        <v>4916.9445900000001</v>
      </c>
    </row>
    <row r="245" spans="1:8">
      <c r="A245" s="6"/>
      <c r="B245" s="6"/>
      <c r="C245" s="6" t="s">
        <v>125</v>
      </c>
      <c r="D245" s="6" t="s">
        <v>118</v>
      </c>
      <c r="E245" s="9">
        <f t="shared" si="15"/>
        <v>5921.0577433333319</v>
      </c>
      <c r="F245" s="9">
        <v>5328.9519689999988</v>
      </c>
      <c r="G245" s="9">
        <f t="shared" si="14"/>
        <v>5328.9519689999988</v>
      </c>
      <c r="H245" s="9">
        <v>21109.858269</v>
      </c>
    </row>
    <row r="246" spans="1:8">
      <c r="A246" s="6"/>
      <c r="B246" s="6"/>
      <c r="C246" s="5" t="s">
        <v>93</v>
      </c>
      <c r="D246" s="5" t="s">
        <v>97</v>
      </c>
      <c r="E246" s="11">
        <f t="shared" si="15"/>
        <v>32710.06774366667</v>
      </c>
      <c r="F246" s="11">
        <v>29439.060969300004</v>
      </c>
      <c r="G246" s="11">
        <f t="shared" si="14"/>
        <v>29439.060969300004</v>
      </c>
      <c r="H246" s="11">
        <v>129365.9656393</v>
      </c>
    </row>
    <row r="247" spans="1:8">
      <c r="A247" s="18"/>
      <c r="B247" s="18"/>
      <c r="C247" s="18"/>
      <c r="D247" s="18"/>
      <c r="E247" s="18"/>
      <c r="F247" s="9"/>
      <c r="G247" s="9"/>
      <c r="H247" s="9"/>
    </row>
    <row r="248" spans="1:8">
      <c r="A248" s="5" t="s">
        <v>80</v>
      </c>
      <c r="B248" s="5" t="s">
        <v>29</v>
      </c>
      <c r="C248" s="6"/>
      <c r="D248" s="6"/>
      <c r="E248" s="9"/>
      <c r="F248" s="9"/>
      <c r="G248" s="9"/>
      <c r="H248" s="9"/>
    </row>
    <row r="249" spans="1:8">
      <c r="A249" s="8" t="s">
        <v>81</v>
      </c>
      <c r="B249" s="8" t="s">
        <v>30</v>
      </c>
      <c r="C249" s="6" t="s">
        <v>94</v>
      </c>
      <c r="D249" s="6" t="s">
        <v>42</v>
      </c>
      <c r="E249" s="9">
        <f>F249/0.9</f>
        <v>0</v>
      </c>
      <c r="F249" s="9">
        <v>0</v>
      </c>
      <c r="G249" s="9">
        <f t="shared" si="14"/>
        <v>0</v>
      </c>
      <c r="H249" s="9">
        <v>3549.52</v>
      </c>
    </row>
    <row r="250" spans="1:8">
      <c r="A250" s="6"/>
      <c r="B250" s="6"/>
      <c r="C250" s="6" t="s">
        <v>90</v>
      </c>
      <c r="D250" s="6" t="s">
        <v>39</v>
      </c>
      <c r="E250" s="9">
        <f t="shared" ref="E250:E304" si="16">F250/0.9</f>
        <v>2058.115666666667</v>
      </c>
      <c r="F250" s="9">
        <v>1852.3041000000003</v>
      </c>
      <c r="G250" s="9">
        <f t="shared" si="14"/>
        <v>1852.3041000000003</v>
      </c>
      <c r="H250" s="9">
        <v>20966.755620000004</v>
      </c>
    </row>
    <row r="251" spans="1:8">
      <c r="A251" s="6"/>
      <c r="B251" s="6"/>
      <c r="C251" s="6" t="s">
        <v>91</v>
      </c>
      <c r="D251" s="6" t="s">
        <v>40</v>
      </c>
      <c r="E251" s="9">
        <f t="shared" si="16"/>
        <v>4054.9108211111106</v>
      </c>
      <c r="F251" s="9">
        <v>3649.4197389999995</v>
      </c>
      <c r="G251" s="9">
        <f t="shared" si="14"/>
        <v>3649.4197389999995</v>
      </c>
      <c r="H251" s="9">
        <f>12023.942439-5172</f>
        <v>6851.9424390000004</v>
      </c>
    </row>
    <row r="252" spans="1:8">
      <c r="A252" s="6"/>
      <c r="B252" s="6"/>
      <c r="C252" s="6" t="s">
        <v>92</v>
      </c>
      <c r="D252" s="6" t="s">
        <v>41</v>
      </c>
      <c r="E252" s="9">
        <f t="shared" si="16"/>
        <v>5153.6999999999989</v>
      </c>
      <c r="F252" s="9">
        <v>4638.329999999999</v>
      </c>
      <c r="G252" s="9">
        <f t="shared" si="14"/>
        <v>4638.329999999999</v>
      </c>
      <c r="H252" s="9">
        <v>35844.965150000004</v>
      </c>
    </row>
    <row r="253" spans="1:8">
      <c r="A253" s="6"/>
      <c r="B253" s="6"/>
      <c r="C253" s="6" t="s">
        <v>125</v>
      </c>
      <c r="D253" s="6" t="s">
        <v>118</v>
      </c>
      <c r="E253" s="9">
        <f t="shared" si="16"/>
        <v>25.105527777777773</v>
      </c>
      <c r="F253" s="9">
        <v>22.594974999999998</v>
      </c>
      <c r="G253" s="9">
        <f t="shared" si="14"/>
        <v>22.594974999999998</v>
      </c>
      <c r="H253" s="9">
        <v>137.39970500000001</v>
      </c>
    </row>
    <row r="254" spans="1:8">
      <c r="A254" s="6"/>
      <c r="B254" s="6"/>
      <c r="C254" s="6" t="s">
        <v>119</v>
      </c>
      <c r="D254" s="6" t="s">
        <v>120</v>
      </c>
      <c r="E254" s="9">
        <f t="shared" si="16"/>
        <v>327.77777777777777</v>
      </c>
      <c r="F254" s="9">
        <v>295</v>
      </c>
      <c r="G254" s="9">
        <f t="shared" si="14"/>
        <v>295</v>
      </c>
      <c r="H254" s="9">
        <v>295</v>
      </c>
    </row>
    <row r="255" spans="1:8">
      <c r="A255" s="6"/>
      <c r="B255" s="6"/>
      <c r="C255" s="7" t="s">
        <v>93</v>
      </c>
      <c r="D255" s="7" t="s">
        <v>97</v>
      </c>
      <c r="E255" s="10">
        <f t="shared" si="16"/>
        <v>11619.609793333333</v>
      </c>
      <c r="F255" s="10">
        <v>10457.648814</v>
      </c>
      <c r="G255" s="10">
        <f t="shared" si="14"/>
        <v>10457.648814</v>
      </c>
      <c r="H255" s="10">
        <f>72817.582914-5172</f>
        <v>67645.582913999999</v>
      </c>
    </row>
    <row r="256" spans="1:8">
      <c r="A256" s="18"/>
      <c r="B256" s="18"/>
      <c r="C256" s="18"/>
      <c r="D256" s="18"/>
      <c r="E256" s="9"/>
      <c r="F256" s="9"/>
      <c r="G256" s="9"/>
      <c r="H256" s="9"/>
    </row>
    <row r="257" spans="1:8">
      <c r="A257" s="8" t="s">
        <v>82</v>
      </c>
      <c r="B257" s="8" t="s">
        <v>31</v>
      </c>
      <c r="C257" s="6" t="s">
        <v>89</v>
      </c>
      <c r="D257" s="6" t="s">
        <v>38</v>
      </c>
      <c r="E257" s="9">
        <f t="shared" si="16"/>
        <v>388.88888888888891</v>
      </c>
      <c r="F257" s="9">
        <v>350.00000000000006</v>
      </c>
      <c r="G257" s="9">
        <f t="shared" si="14"/>
        <v>350.00000000000006</v>
      </c>
      <c r="H257" s="9">
        <v>5380.4286899999997</v>
      </c>
    </row>
    <row r="258" spans="1:8">
      <c r="A258" s="6"/>
      <c r="B258" s="6"/>
      <c r="C258" s="6" t="s">
        <v>90</v>
      </c>
      <c r="D258" s="6" t="s">
        <v>39</v>
      </c>
      <c r="E258" s="9">
        <f t="shared" si="16"/>
        <v>3982.2609999999991</v>
      </c>
      <c r="F258" s="9">
        <v>3584.0348999999992</v>
      </c>
      <c r="G258" s="9">
        <f t="shared" si="14"/>
        <v>3584.0348999999992</v>
      </c>
      <c r="H258" s="9">
        <f>30449.12567-7612</f>
        <v>22837.125670000001</v>
      </c>
    </row>
    <row r="259" spans="1:8">
      <c r="A259" s="6"/>
      <c r="B259" s="6"/>
      <c r="C259" s="6" t="s">
        <v>91</v>
      </c>
      <c r="D259" s="6" t="s">
        <v>40</v>
      </c>
      <c r="E259" s="9">
        <f t="shared" si="16"/>
        <v>1659.0971914444438</v>
      </c>
      <c r="F259" s="9">
        <v>1493.1874722999994</v>
      </c>
      <c r="G259" s="9">
        <f t="shared" si="14"/>
        <v>1493.1874722999994</v>
      </c>
      <c r="H259" s="9">
        <v>12426.293001500002</v>
      </c>
    </row>
    <row r="260" spans="1:8">
      <c r="A260" s="6"/>
      <c r="B260" s="6"/>
      <c r="C260" s="6" t="s">
        <v>92</v>
      </c>
      <c r="D260" s="6" t="s">
        <v>41</v>
      </c>
      <c r="E260" s="9">
        <f t="shared" si="16"/>
        <v>1614.2599999999998</v>
      </c>
      <c r="F260" s="9">
        <v>1452.8339999999998</v>
      </c>
      <c r="G260" s="9">
        <f t="shared" si="14"/>
        <v>1452.8339999999998</v>
      </c>
      <c r="H260" s="9">
        <v>15244.075208700004</v>
      </c>
    </row>
    <row r="261" spans="1:8">
      <c r="A261" s="6"/>
      <c r="B261" s="6"/>
      <c r="C261" s="6" t="s">
        <v>125</v>
      </c>
      <c r="D261" s="6" t="s">
        <v>118</v>
      </c>
      <c r="E261" s="9">
        <f t="shared" si="16"/>
        <v>1320.8062916666665</v>
      </c>
      <c r="F261" s="9">
        <v>1188.7256625</v>
      </c>
      <c r="G261" s="9">
        <f t="shared" si="14"/>
        <v>1188.7256625</v>
      </c>
      <c r="H261" s="9">
        <v>10967.775862499999</v>
      </c>
    </row>
    <row r="262" spans="1:8">
      <c r="A262" s="6"/>
      <c r="B262" s="6"/>
      <c r="C262" s="7" t="s">
        <v>93</v>
      </c>
      <c r="D262" s="7" t="s">
        <v>97</v>
      </c>
      <c r="E262" s="10">
        <f t="shared" si="16"/>
        <v>8965.3133719999987</v>
      </c>
      <c r="F262" s="10">
        <v>8068.7820347999987</v>
      </c>
      <c r="G262" s="10">
        <f t="shared" si="14"/>
        <v>8068.7820347999987</v>
      </c>
      <c r="H262" s="10">
        <f>74467.3984327-7612</f>
        <v>66855.398432700007</v>
      </c>
    </row>
    <row r="263" spans="1:8">
      <c r="A263" s="18"/>
      <c r="B263" s="18"/>
      <c r="C263" s="18"/>
      <c r="D263" s="18"/>
      <c r="E263" s="9"/>
      <c r="F263" s="9"/>
      <c r="G263" s="9"/>
      <c r="H263" s="9"/>
    </row>
    <row r="264" spans="1:8">
      <c r="A264" s="8" t="s">
        <v>83</v>
      </c>
      <c r="B264" s="8" t="s">
        <v>32</v>
      </c>
      <c r="C264" s="6" t="s">
        <v>89</v>
      </c>
      <c r="D264" s="6" t="s">
        <v>38</v>
      </c>
      <c r="E264" s="9">
        <f t="shared" si="16"/>
        <v>1611.1111111111109</v>
      </c>
      <c r="F264" s="9">
        <v>1449.9999999999998</v>
      </c>
      <c r="G264" s="9">
        <f t="shared" si="14"/>
        <v>1449.9999999999998</v>
      </c>
      <c r="H264" s="9">
        <v>16117.85097</v>
      </c>
    </row>
    <row r="265" spans="1:8">
      <c r="A265" s="6"/>
      <c r="B265" s="6"/>
      <c r="C265" s="6" t="s">
        <v>90</v>
      </c>
      <c r="D265" s="6" t="s">
        <v>39</v>
      </c>
      <c r="E265" s="9">
        <f t="shared" si="16"/>
        <v>5306.8394444444448</v>
      </c>
      <c r="F265" s="9">
        <v>4776.1555000000008</v>
      </c>
      <c r="G265" s="9">
        <f t="shared" si="14"/>
        <v>4776.1555000000008</v>
      </c>
      <c r="H265" s="9">
        <v>23111.958189999998</v>
      </c>
    </row>
    <row r="266" spans="1:8">
      <c r="A266" s="6"/>
      <c r="B266" s="6"/>
      <c r="C266" s="6" t="s">
        <v>91</v>
      </c>
      <c r="D266" s="6" t="s">
        <v>40</v>
      </c>
      <c r="E266" s="9">
        <f t="shared" si="16"/>
        <v>624.66944444444459</v>
      </c>
      <c r="F266" s="9">
        <v>562.2025000000001</v>
      </c>
      <c r="G266" s="9">
        <f t="shared" si="14"/>
        <v>562.2025000000001</v>
      </c>
      <c r="H266" s="9">
        <f>3159.6481782-2881</f>
        <v>278.64817820000007</v>
      </c>
    </row>
    <row r="267" spans="1:8">
      <c r="A267" s="6"/>
      <c r="B267" s="6"/>
      <c r="C267" s="6" t="s">
        <v>92</v>
      </c>
      <c r="D267" s="6" t="s">
        <v>41</v>
      </c>
      <c r="E267" s="9">
        <f t="shared" si="16"/>
        <v>179.13906666666668</v>
      </c>
      <c r="F267" s="9">
        <v>161.22516000000002</v>
      </c>
      <c r="G267" s="9">
        <f t="shared" si="14"/>
        <v>161.22516000000002</v>
      </c>
      <c r="H267" s="9">
        <v>3958.4159200000004</v>
      </c>
    </row>
    <row r="268" spans="1:8">
      <c r="A268" s="6"/>
      <c r="B268" s="6"/>
      <c r="C268" s="6" t="s">
        <v>125</v>
      </c>
      <c r="D268" s="6" t="s">
        <v>118</v>
      </c>
      <c r="E268" s="9">
        <f t="shared" si="16"/>
        <v>272.64228777777777</v>
      </c>
      <c r="F268" s="9">
        <v>245.37805900000001</v>
      </c>
      <c r="G268" s="9">
        <f t="shared" si="14"/>
        <v>245.37805900000001</v>
      </c>
      <c r="H268" s="9">
        <v>2076.4381590000003</v>
      </c>
    </row>
    <row r="269" spans="1:8">
      <c r="A269" s="6"/>
      <c r="B269" s="6"/>
      <c r="C269" s="7" t="s">
        <v>93</v>
      </c>
      <c r="D269" s="7" t="s">
        <v>97</v>
      </c>
      <c r="E269" s="10">
        <f t="shared" si="16"/>
        <v>7994.4013544444451</v>
      </c>
      <c r="F269" s="10">
        <v>7194.9612190000007</v>
      </c>
      <c r="G269" s="10">
        <f t="shared" si="14"/>
        <v>7194.9612190000007</v>
      </c>
      <c r="H269" s="10">
        <f>48424.3114172-2881</f>
        <v>45543.311417199999</v>
      </c>
    </row>
    <row r="270" spans="1:8">
      <c r="A270" s="18"/>
      <c r="B270" s="18"/>
      <c r="C270" s="18"/>
      <c r="D270" s="18"/>
      <c r="E270" s="9"/>
      <c r="F270" s="9"/>
      <c r="G270" s="9"/>
      <c r="H270" s="9"/>
    </row>
    <row r="271" spans="1:8">
      <c r="A271" s="8" t="s">
        <v>84</v>
      </c>
      <c r="B271" s="8" t="s">
        <v>100</v>
      </c>
      <c r="C271" s="6" t="s">
        <v>89</v>
      </c>
      <c r="D271" s="6" t="s">
        <v>38</v>
      </c>
      <c r="E271" s="9">
        <f t="shared" si="16"/>
        <v>0</v>
      </c>
      <c r="F271" s="9">
        <v>0</v>
      </c>
      <c r="G271" s="9">
        <f t="shared" ref="G271:G313" si="17">F271</f>
        <v>0</v>
      </c>
      <c r="H271" s="9">
        <v>9.07</v>
      </c>
    </row>
    <row r="272" spans="1:8">
      <c r="A272" s="6"/>
      <c r="B272" s="6"/>
      <c r="C272" s="6" t="s">
        <v>90</v>
      </c>
      <c r="D272" s="6" t="s">
        <v>39</v>
      </c>
      <c r="E272" s="9">
        <f t="shared" si="16"/>
        <v>122.88766666666668</v>
      </c>
      <c r="F272" s="9">
        <v>110.59890000000001</v>
      </c>
      <c r="G272" s="9">
        <f t="shared" si="17"/>
        <v>110.59890000000001</v>
      </c>
      <c r="H272" s="9">
        <f>982.20545-78</f>
        <v>904.20545000000004</v>
      </c>
    </row>
    <row r="273" spans="1:8">
      <c r="A273" s="6"/>
      <c r="B273" s="6"/>
      <c r="C273" s="6" t="s">
        <v>91</v>
      </c>
      <c r="D273" s="6" t="s">
        <v>40</v>
      </c>
      <c r="E273" s="9">
        <f t="shared" si="16"/>
        <v>0</v>
      </c>
      <c r="F273" s="9">
        <v>0</v>
      </c>
      <c r="G273" s="9">
        <f t="shared" si="17"/>
        <v>0</v>
      </c>
      <c r="H273" s="9">
        <f>34.65-10</f>
        <v>24.65</v>
      </c>
    </row>
    <row r="274" spans="1:8">
      <c r="A274" s="6"/>
      <c r="B274" s="6"/>
      <c r="C274" s="6" t="s">
        <v>92</v>
      </c>
      <c r="D274" s="6" t="s">
        <v>41</v>
      </c>
      <c r="E274" s="9">
        <f t="shared" si="16"/>
        <v>22.222222222222221</v>
      </c>
      <c r="F274" s="9">
        <v>20</v>
      </c>
      <c r="G274" s="9">
        <f t="shared" si="17"/>
        <v>20</v>
      </c>
      <c r="H274" s="9">
        <f>96.95252-10</f>
        <v>86.952520000000007</v>
      </c>
    </row>
    <row r="275" spans="1:8">
      <c r="A275" s="6"/>
      <c r="B275" s="6"/>
      <c r="C275" s="6" t="s">
        <v>125</v>
      </c>
      <c r="D275" s="6" t="s">
        <v>118</v>
      </c>
      <c r="E275" s="9">
        <f t="shared" si="16"/>
        <v>7.0560072222222221</v>
      </c>
      <c r="F275" s="9">
        <v>6.3504065000000001</v>
      </c>
      <c r="G275" s="9">
        <f t="shared" si="17"/>
        <v>6.3504065000000001</v>
      </c>
      <c r="H275" s="9">
        <v>7.9304065000000001</v>
      </c>
    </row>
    <row r="276" spans="1:8">
      <c r="A276" s="6"/>
      <c r="B276" s="6"/>
      <c r="C276" s="7" t="s">
        <v>93</v>
      </c>
      <c r="D276" s="7" t="s">
        <v>97</v>
      </c>
      <c r="E276" s="10">
        <f t="shared" si="16"/>
        <v>152.16589611111112</v>
      </c>
      <c r="F276" s="10">
        <v>136.94930650000001</v>
      </c>
      <c r="G276" s="10">
        <f t="shared" si="17"/>
        <v>136.94930650000001</v>
      </c>
      <c r="H276" s="10">
        <f>1130.8083765-98</f>
        <v>1032.8083764999999</v>
      </c>
    </row>
    <row r="277" spans="1:8">
      <c r="A277" s="18"/>
      <c r="B277" s="18"/>
      <c r="C277" s="18"/>
      <c r="D277" s="18"/>
      <c r="E277" s="9"/>
      <c r="F277" s="9"/>
      <c r="G277" s="9"/>
      <c r="H277" s="9"/>
    </row>
    <row r="278" spans="1:8">
      <c r="A278" s="8" t="s">
        <v>85</v>
      </c>
      <c r="B278" s="8" t="s">
        <v>33</v>
      </c>
      <c r="C278" s="6" t="s">
        <v>89</v>
      </c>
      <c r="D278" s="6" t="s">
        <v>38</v>
      </c>
      <c r="E278" s="9">
        <f t="shared" si="16"/>
        <v>0</v>
      </c>
      <c r="F278" s="9">
        <v>0</v>
      </c>
      <c r="G278" s="9">
        <f t="shared" si="17"/>
        <v>0</v>
      </c>
      <c r="H278" s="9">
        <f>2103.32+2218+218.5</f>
        <v>4539.82</v>
      </c>
    </row>
    <row r="279" spans="1:8">
      <c r="A279" s="6"/>
      <c r="B279" s="6"/>
      <c r="C279" s="6" t="s">
        <v>90</v>
      </c>
      <c r="D279" s="6" t="s">
        <v>39</v>
      </c>
      <c r="E279" s="9">
        <f t="shared" si="16"/>
        <v>6338.8271111111089</v>
      </c>
      <c r="F279" s="9">
        <v>5704.9443999999985</v>
      </c>
      <c r="G279" s="9">
        <f t="shared" si="17"/>
        <v>5704.9443999999985</v>
      </c>
      <c r="H279" s="9">
        <f>47275.44336-218</f>
        <v>47057.443359999997</v>
      </c>
    </row>
    <row r="280" spans="1:8">
      <c r="A280" s="6"/>
      <c r="B280" s="6"/>
      <c r="C280" s="6" t="s">
        <v>91</v>
      </c>
      <c r="D280" s="6" t="s">
        <v>40</v>
      </c>
      <c r="E280" s="9">
        <f t="shared" si="16"/>
        <v>312.82421455555567</v>
      </c>
      <c r="F280" s="9">
        <v>281.54179310000012</v>
      </c>
      <c r="G280" s="9">
        <f t="shared" si="17"/>
        <v>281.54179310000012</v>
      </c>
      <c r="H280" s="9">
        <v>5223.5463841000001</v>
      </c>
    </row>
    <row r="281" spans="1:8">
      <c r="A281" s="6"/>
      <c r="B281" s="6"/>
      <c r="C281" s="6" t="s">
        <v>92</v>
      </c>
      <c r="D281" s="6" t="s">
        <v>41</v>
      </c>
      <c r="E281" s="9">
        <f t="shared" si="16"/>
        <v>1711.7444444444448</v>
      </c>
      <c r="F281" s="9">
        <v>1540.5700000000004</v>
      </c>
      <c r="G281" s="9">
        <f t="shared" si="17"/>
        <v>1540.5700000000004</v>
      </c>
      <c r="H281" s="9">
        <f>12144.867391-7115</f>
        <v>5029.8673909999998</v>
      </c>
    </row>
    <row r="282" spans="1:8">
      <c r="A282" s="6"/>
      <c r="B282" s="6"/>
      <c r="C282" s="6" t="s">
        <v>125</v>
      </c>
      <c r="D282" s="6" t="s">
        <v>118</v>
      </c>
      <c r="E282" s="9">
        <f t="shared" si="16"/>
        <v>2894.2737255555553</v>
      </c>
      <c r="F282" s="9">
        <v>2604.8463529999999</v>
      </c>
      <c r="G282" s="9">
        <f t="shared" si="17"/>
        <v>2604.8463529999999</v>
      </c>
      <c r="H282" s="9">
        <f>9426.662653-2218</f>
        <v>7208.6626529999994</v>
      </c>
    </row>
    <row r="283" spans="1:8">
      <c r="A283" s="6"/>
      <c r="B283" s="6"/>
      <c r="C283" s="7" t="s">
        <v>93</v>
      </c>
      <c r="D283" s="7" t="s">
        <v>97</v>
      </c>
      <c r="E283" s="10">
        <f t="shared" si="16"/>
        <v>11257.669495666665</v>
      </c>
      <c r="F283" s="10">
        <v>10131.902546099998</v>
      </c>
      <c r="G283" s="10">
        <f t="shared" si="17"/>
        <v>10131.902546099998</v>
      </c>
      <c r="H283" s="10">
        <f>76173.8397881-7115</f>
        <v>69058.839788099998</v>
      </c>
    </row>
    <row r="284" spans="1:8">
      <c r="A284" s="18"/>
      <c r="B284" s="18"/>
      <c r="C284" s="18"/>
      <c r="D284" s="18"/>
      <c r="E284" s="9"/>
      <c r="F284" s="9"/>
      <c r="G284" s="9"/>
      <c r="H284" s="9"/>
    </row>
    <row r="285" spans="1:8">
      <c r="A285" s="8" t="s">
        <v>86</v>
      </c>
      <c r="B285" s="8" t="s">
        <v>34</v>
      </c>
      <c r="C285" s="6" t="s">
        <v>89</v>
      </c>
      <c r="D285" s="6" t="s">
        <v>38</v>
      </c>
      <c r="E285" s="9">
        <f t="shared" si="16"/>
        <v>0</v>
      </c>
      <c r="F285" s="9">
        <v>0</v>
      </c>
      <c r="G285" s="9">
        <f t="shared" si="17"/>
        <v>0</v>
      </c>
      <c r="H285" s="9">
        <v>0</v>
      </c>
    </row>
    <row r="286" spans="1:8">
      <c r="A286" s="6"/>
      <c r="B286" s="6"/>
      <c r="C286" s="6" t="s">
        <v>90</v>
      </c>
      <c r="D286" s="6" t="s">
        <v>39</v>
      </c>
      <c r="E286" s="9">
        <f t="shared" si="16"/>
        <v>0</v>
      </c>
      <c r="F286" s="9">
        <v>0</v>
      </c>
      <c r="G286" s="9">
        <f t="shared" si="17"/>
        <v>0</v>
      </c>
      <c r="H286" s="9">
        <v>0</v>
      </c>
    </row>
    <row r="287" spans="1:8">
      <c r="A287" s="6"/>
      <c r="B287" s="6"/>
      <c r="C287" s="6" t="s">
        <v>91</v>
      </c>
      <c r="D287" s="6" t="s">
        <v>40</v>
      </c>
      <c r="E287" s="9">
        <f t="shared" si="16"/>
        <v>0</v>
      </c>
      <c r="F287" s="9">
        <v>0</v>
      </c>
      <c r="G287" s="9">
        <f t="shared" si="17"/>
        <v>0</v>
      </c>
      <c r="H287" s="9">
        <v>0</v>
      </c>
    </row>
    <row r="288" spans="1:8">
      <c r="A288" s="6"/>
      <c r="B288" s="6"/>
      <c r="C288" s="6" t="s">
        <v>92</v>
      </c>
      <c r="D288" s="6" t="s">
        <v>41</v>
      </c>
      <c r="E288" s="9">
        <f t="shared" si="16"/>
        <v>0</v>
      </c>
      <c r="F288" s="9">
        <v>0</v>
      </c>
      <c r="G288" s="9">
        <f t="shared" si="17"/>
        <v>0</v>
      </c>
      <c r="H288" s="9">
        <v>0</v>
      </c>
    </row>
    <row r="289" spans="1:8">
      <c r="A289" s="6"/>
      <c r="B289" s="6"/>
      <c r="C289" s="6" t="s">
        <v>125</v>
      </c>
      <c r="D289" s="6" t="s">
        <v>118</v>
      </c>
      <c r="E289" s="9">
        <f t="shared" si="16"/>
        <v>0</v>
      </c>
      <c r="F289" s="9">
        <v>0</v>
      </c>
      <c r="G289" s="9">
        <f t="shared" si="17"/>
        <v>0</v>
      </c>
      <c r="H289" s="9">
        <v>0</v>
      </c>
    </row>
    <row r="290" spans="1:8">
      <c r="A290" s="6"/>
      <c r="B290" s="6"/>
      <c r="C290" s="7" t="s">
        <v>93</v>
      </c>
      <c r="D290" s="7" t="s">
        <v>97</v>
      </c>
      <c r="E290" s="10">
        <f t="shared" si="16"/>
        <v>0</v>
      </c>
      <c r="F290" s="10">
        <v>0</v>
      </c>
      <c r="G290" s="10">
        <f t="shared" si="17"/>
        <v>0</v>
      </c>
      <c r="H290" s="10">
        <v>0</v>
      </c>
    </row>
    <row r="291" spans="1:8">
      <c r="A291" s="18"/>
      <c r="B291" s="18"/>
      <c r="C291" s="18"/>
      <c r="D291" s="18"/>
      <c r="E291" s="9"/>
      <c r="F291" s="9"/>
      <c r="G291" s="9"/>
      <c r="H291" s="9"/>
    </row>
    <row r="292" spans="1:8">
      <c r="A292" s="8" t="s">
        <v>87</v>
      </c>
      <c r="B292" s="8" t="s">
        <v>35</v>
      </c>
      <c r="C292" s="6" t="s">
        <v>89</v>
      </c>
      <c r="D292" s="6" t="s">
        <v>38</v>
      </c>
      <c r="E292" s="9">
        <f t="shared" si="16"/>
        <v>0</v>
      </c>
      <c r="F292" s="9">
        <v>0</v>
      </c>
      <c r="G292" s="9">
        <f t="shared" si="17"/>
        <v>0</v>
      </c>
      <c r="H292" s="9">
        <v>0</v>
      </c>
    </row>
    <row r="293" spans="1:8">
      <c r="A293" s="8"/>
      <c r="B293" s="8"/>
      <c r="C293" s="6" t="s">
        <v>90</v>
      </c>
      <c r="D293" s="6" t="s">
        <v>39</v>
      </c>
      <c r="E293" s="9">
        <f t="shared" si="16"/>
        <v>4147.0111111111109</v>
      </c>
      <c r="F293" s="9">
        <v>3732.31</v>
      </c>
      <c r="G293" s="9">
        <f t="shared" si="17"/>
        <v>3732.31</v>
      </c>
      <c r="H293" s="9">
        <f>20375.47192-8827-1317</f>
        <v>10231.47192</v>
      </c>
    </row>
    <row r="294" spans="1:8">
      <c r="A294" s="6"/>
      <c r="B294" s="6"/>
      <c r="C294" s="6" t="s">
        <v>91</v>
      </c>
      <c r="D294" s="6" t="s">
        <v>40</v>
      </c>
      <c r="E294" s="9">
        <f t="shared" si="16"/>
        <v>1003.3683165555555</v>
      </c>
      <c r="F294" s="9">
        <v>903.0314848999999</v>
      </c>
      <c r="G294" s="9">
        <f t="shared" si="17"/>
        <v>903.0314848999999</v>
      </c>
      <c r="H294" s="9">
        <f>3353.1595549+816</f>
        <v>4169.1595548999994</v>
      </c>
    </row>
    <row r="295" spans="1:8">
      <c r="A295" s="6"/>
      <c r="B295" s="6"/>
      <c r="C295" s="6" t="s">
        <v>92</v>
      </c>
      <c r="D295" s="6" t="s">
        <v>41</v>
      </c>
      <c r="E295" s="9">
        <f t="shared" si="16"/>
        <v>2038.8888888888882</v>
      </c>
      <c r="F295" s="9">
        <v>1834.9999999999995</v>
      </c>
      <c r="G295" s="9">
        <f t="shared" si="17"/>
        <v>1834.9999999999995</v>
      </c>
      <c r="H295" s="9">
        <f>17302.83784+501</f>
        <v>17803.83784</v>
      </c>
    </row>
    <row r="296" spans="1:8">
      <c r="A296" s="6"/>
      <c r="B296" s="6"/>
      <c r="C296" s="6" t="s">
        <v>125</v>
      </c>
      <c r="D296" s="6" t="s">
        <v>118</v>
      </c>
      <c r="E296" s="9">
        <f t="shared" si="16"/>
        <v>56.669222222222217</v>
      </c>
      <c r="F296" s="9">
        <v>51.002299999999998</v>
      </c>
      <c r="G296" s="9">
        <f t="shared" si="17"/>
        <v>51.002299999999998</v>
      </c>
      <c r="H296" s="9">
        <v>968.85719999999992</v>
      </c>
    </row>
    <row r="297" spans="1:8">
      <c r="A297" s="6"/>
      <c r="B297" s="6"/>
      <c r="C297" s="7" t="s">
        <v>93</v>
      </c>
      <c r="D297" s="7" t="s">
        <v>97</v>
      </c>
      <c r="E297" s="10">
        <f t="shared" si="16"/>
        <v>7245.9375387777782</v>
      </c>
      <c r="F297" s="10">
        <v>6521.3437849000002</v>
      </c>
      <c r="G297" s="10">
        <f t="shared" si="17"/>
        <v>6521.3437849000002</v>
      </c>
      <c r="H297" s="10">
        <f>42000.3265149-8827</f>
        <v>33173.3265149</v>
      </c>
    </row>
    <row r="298" spans="1:8">
      <c r="A298" s="18"/>
      <c r="B298" s="18"/>
      <c r="C298" s="18"/>
      <c r="D298" s="18"/>
      <c r="E298" s="9"/>
      <c r="F298" s="9"/>
      <c r="G298" s="9"/>
      <c r="H298" s="9"/>
    </row>
    <row r="299" spans="1:8">
      <c r="A299" s="5" t="s">
        <v>80</v>
      </c>
      <c r="B299" s="5" t="s">
        <v>29</v>
      </c>
      <c r="C299" s="6" t="s">
        <v>89</v>
      </c>
      <c r="D299" s="6" t="s">
        <v>38</v>
      </c>
      <c r="E299" s="9">
        <f t="shared" si="16"/>
        <v>1999.9999999999998</v>
      </c>
      <c r="F299" s="9">
        <v>1799.9999999999998</v>
      </c>
      <c r="G299" s="9">
        <f t="shared" si="17"/>
        <v>1799.9999999999998</v>
      </c>
      <c r="H299" s="9">
        <v>29596.68966</v>
      </c>
    </row>
    <row r="300" spans="1:8">
      <c r="A300" s="6"/>
      <c r="B300" s="6"/>
      <c r="C300" s="6" t="s">
        <v>90</v>
      </c>
      <c r="D300" s="6" t="s">
        <v>39</v>
      </c>
      <c r="E300" s="9">
        <f t="shared" si="16"/>
        <v>21955.941999999999</v>
      </c>
      <c r="F300" s="9">
        <v>19760.3478</v>
      </c>
      <c r="G300" s="9">
        <f t="shared" si="17"/>
        <v>19760.3478</v>
      </c>
      <c r="H300" s="9">
        <v>125108.96021000002</v>
      </c>
    </row>
    <row r="301" spans="1:8">
      <c r="A301" s="6"/>
      <c r="B301" s="6"/>
      <c r="C301" s="6" t="s">
        <v>91</v>
      </c>
      <c r="D301" s="6" t="s">
        <v>40</v>
      </c>
      <c r="E301" s="9">
        <f t="shared" si="16"/>
        <v>7654.8699881111088</v>
      </c>
      <c r="F301" s="9">
        <v>6889.3829892999984</v>
      </c>
      <c r="G301" s="9">
        <f t="shared" si="17"/>
        <v>6889.3829892999984</v>
      </c>
      <c r="H301" s="9">
        <v>28974.239557699999</v>
      </c>
    </row>
    <row r="302" spans="1:8">
      <c r="A302" s="6"/>
      <c r="B302" s="6"/>
      <c r="C302" s="6" t="s">
        <v>92</v>
      </c>
      <c r="D302" s="6" t="s">
        <v>41</v>
      </c>
      <c r="E302" s="9">
        <f t="shared" si="16"/>
        <v>10719.95462222222</v>
      </c>
      <c r="F302" s="9">
        <v>9647.9591599999985</v>
      </c>
      <c r="G302" s="9">
        <f t="shared" si="17"/>
        <v>9647.9591599999985</v>
      </c>
      <c r="H302" s="9">
        <v>77968.114029700009</v>
      </c>
    </row>
    <row r="303" spans="1:8">
      <c r="A303" s="6"/>
      <c r="B303" s="6"/>
      <c r="C303" s="6" t="s">
        <v>125</v>
      </c>
      <c r="D303" s="6" t="s">
        <v>118</v>
      </c>
      <c r="E303" s="9">
        <f t="shared" si="16"/>
        <v>4576.5530622222223</v>
      </c>
      <c r="F303" s="9">
        <v>4118.8977560000003</v>
      </c>
      <c r="G303" s="9">
        <f t="shared" si="17"/>
        <v>4118.8977560000003</v>
      </c>
      <c r="H303" s="9">
        <v>21367.063985999997</v>
      </c>
    </row>
    <row r="304" spans="1:8">
      <c r="A304" s="6"/>
      <c r="B304" s="6"/>
      <c r="C304" s="6" t="s">
        <v>119</v>
      </c>
      <c r="D304" s="6" t="s">
        <v>120</v>
      </c>
      <c r="E304" s="9">
        <f t="shared" si="16"/>
        <v>327.77777777777777</v>
      </c>
      <c r="F304" s="9">
        <v>295</v>
      </c>
      <c r="G304" s="9">
        <f t="shared" si="17"/>
        <v>295</v>
      </c>
      <c r="H304" s="9">
        <v>295</v>
      </c>
    </row>
    <row r="305" spans="1:8">
      <c r="A305" s="6" t="s">
        <v>36</v>
      </c>
      <c r="B305" s="6" t="s">
        <v>36</v>
      </c>
      <c r="C305" s="5" t="s">
        <v>93</v>
      </c>
      <c r="D305" s="5" t="s">
        <v>97</v>
      </c>
      <c r="E305" s="11">
        <f>SUM(E299:E304)</f>
        <v>47235.097450333335</v>
      </c>
      <c r="F305" s="11">
        <v>42511.587705299993</v>
      </c>
      <c r="G305" s="11">
        <f t="shared" si="17"/>
        <v>42511.587705299993</v>
      </c>
      <c r="H305" s="11">
        <f>315019.6074434-31707</f>
        <v>283312.60744340002</v>
      </c>
    </row>
    <row r="306" spans="1:8">
      <c r="A306" s="18"/>
      <c r="B306" s="18"/>
      <c r="C306" s="18"/>
      <c r="D306" s="18"/>
      <c r="E306" s="18"/>
      <c r="F306" s="9"/>
      <c r="G306" s="9"/>
      <c r="H306" s="9"/>
    </row>
    <row r="307" spans="1:8">
      <c r="A307" s="5" t="s">
        <v>88</v>
      </c>
      <c r="B307" s="5" t="s">
        <v>37</v>
      </c>
      <c r="C307" s="6" t="s">
        <v>89</v>
      </c>
      <c r="D307" s="6" t="s">
        <v>38</v>
      </c>
      <c r="E307" s="9">
        <f>E299+E241+E205+E169+E126+E62</f>
        <v>2801.017385398538</v>
      </c>
      <c r="F307" s="9">
        <v>2541.3194823849994</v>
      </c>
      <c r="G307" s="9">
        <f t="shared" si="17"/>
        <v>2541.3194823849994</v>
      </c>
      <c r="H307" s="9">
        <v>69958.970928384995</v>
      </c>
    </row>
    <row r="308" spans="1:8">
      <c r="A308" s="6"/>
      <c r="B308" s="6"/>
      <c r="C308" s="6" t="s">
        <v>90</v>
      </c>
      <c r="D308" s="6" t="s">
        <v>39</v>
      </c>
      <c r="E308" s="9">
        <f t="shared" ref="E308:E311" si="18">E300+E242+E206+E170+E127+E63</f>
        <v>84338.347543859651</v>
      </c>
      <c r="F308" s="9">
        <v>76736.27</v>
      </c>
      <c r="G308" s="9">
        <f t="shared" si="17"/>
        <v>76736.27</v>
      </c>
      <c r="H308" s="9">
        <v>377765.69914000004</v>
      </c>
    </row>
    <row r="309" spans="1:8">
      <c r="A309" s="6"/>
      <c r="B309" s="6"/>
      <c r="C309" s="6" t="s">
        <v>91</v>
      </c>
      <c r="D309" s="6" t="s">
        <v>40</v>
      </c>
      <c r="E309" s="9">
        <f t="shared" si="18"/>
        <v>12639.153829432744</v>
      </c>
      <c r="F309" s="9">
        <v>11453.711741699997</v>
      </c>
      <c r="G309" s="9">
        <f t="shared" si="17"/>
        <v>11453.711741699997</v>
      </c>
      <c r="H309" s="9">
        <v>69292.759046899999</v>
      </c>
    </row>
    <row r="310" spans="1:8">
      <c r="A310" s="6"/>
      <c r="B310" s="6"/>
      <c r="C310" s="6" t="s">
        <v>92</v>
      </c>
      <c r="D310" s="6" t="s">
        <v>41</v>
      </c>
      <c r="E310" s="9">
        <f t="shared" si="18"/>
        <v>15827.223374725141</v>
      </c>
      <c r="F310" s="9">
        <v>14389.376017099999</v>
      </c>
      <c r="G310" s="9">
        <f t="shared" si="17"/>
        <v>14389.376017099999</v>
      </c>
      <c r="H310" s="9">
        <v>126084.98412840001</v>
      </c>
    </row>
    <row r="311" spans="1:8">
      <c r="A311" s="6"/>
      <c r="B311" s="6"/>
      <c r="C311" s="6" t="s">
        <v>125</v>
      </c>
      <c r="D311" s="6" t="s">
        <v>118</v>
      </c>
      <c r="E311" s="9">
        <f t="shared" si="18"/>
        <v>11878.472260760233</v>
      </c>
      <c r="F311" s="9">
        <v>10719.873</v>
      </c>
      <c r="G311" s="9">
        <f t="shared" si="17"/>
        <v>10719.873</v>
      </c>
      <c r="H311" s="9">
        <v>52828.269330000003</v>
      </c>
    </row>
    <row r="312" spans="1:8">
      <c r="A312" s="6"/>
      <c r="B312" s="6"/>
      <c r="C312" s="6" t="s">
        <v>119</v>
      </c>
      <c r="D312" s="6" t="s">
        <v>120</v>
      </c>
      <c r="E312" s="9">
        <f>E304</f>
        <v>327.77777777777777</v>
      </c>
      <c r="F312" s="9">
        <v>295</v>
      </c>
      <c r="G312" s="9">
        <f t="shared" si="17"/>
        <v>295</v>
      </c>
      <c r="H312" s="9">
        <v>295</v>
      </c>
    </row>
    <row r="313" spans="1:8">
      <c r="A313" s="6"/>
      <c r="B313" s="6"/>
      <c r="C313" s="5" t="s">
        <v>95</v>
      </c>
      <c r="D313" s="5" t="s">
        <v>97</v>
      </c>
      <c r="E313" s="11">
        <f>E305+E246+E210+E174+E131+E67</f>
        <v>127811.9921719541</v>
      </c>
      <c r="F313" s="11">
        <v>116135.550241185</v>
      </c>
      <c r="G313" s="11">
        <f t="shared" si="17"/>
        <v>116135.550241185</v>
      </c>
      <c r="H313" s="11">
        <v>696225.68257368507</v>
      </c>
    </row>
    <row r="314" spans="1:8">
      <c r="A314" s="18" t="s">
        <v>96</v>
      </c>
      <c r="B314" s="18"/>
      <c r="C314" s="18"/>
      <c r="D314" s="18"/>
      <c r="E314" s="18"/>
      <c r="F314" s="18"/>
      <c r="G314" s="18"/>
      <c r="H314" s="18"/>
    </row>
    <row r="315" spans="1:8">
      <c r="A315" s="18" t="s">
        <v>111</v>
      </c>
      <c r="B315" s="18"/>
      <c r="C315" s="18"/>
      <c r="D315" s="18"/>
      <c r="E315" s="18"/>
      <c r="F315" s="18"/>
      <c r="G315" s="18"/>
      <c r="H315" s="21"/>
    </row>
    <row r="325" spans="5:8">
      <c r="E325" s="14"/>
      <c r="F325" s="14"/>
      <c r="G325" s="14"/>
      <c r="H325" s="14"/>
    </row>
    <row r="326" spans="5:8">
      <c r="E326" s="14"/>
      <c r="F326" s="14"/>
      <c r="G326" s="14"/>
      <c r="H326" s="14"/>
    </row>
    <row r="327" spans="5:8">
      <c r="E327" s="13"/>
      <c r="F327" s="13"/>
      <c r="G327" s="13"/>
      <c r="H327" s="13"/>
    </row>
    <row r="328" spans="5:8">
      <c r="E328" s="13"/>
      <c r="F328" s="13"/>
      <c r="G328" s="13"/>
      <c r="H328" s="13"/>
    </row>
    <row r="329" spans="5:8">
      <c r="E329" s="13"/>
      <c r="F329" s="13"/>
      <c r="G329" s="13"/>
      <c r="H329" s="13"/>
    </row>
    <row r="330" spans="5:8">
      <c r="E330" s="13"/>
      <c r="F330" s="13"/>
      <c r="G330" s="13"/>
      <c r="H330" s="13"/>
    </row>
    <row r="331" spans="5:8">
      <c r="E331" s="13"/>
      <c r="F331" s="13"/>
      <c r="G331" s="13"/>
      <c r="H331" s="13"/>
    </row>
    <row r="332" spans="5:8">
      <c r="E332" s="13"/>
      <c r="F332" s="13"/>
      <c r="G332" s="13"/>
      <c r="H332" s="13"/>
    </row>
    <row r="333" spans="5:8">
      <c r="E333" s="13"/>
      <c r="F333" s="13"/>
      <c r="G333" s="13"/>
      <c r="H333" s="13"/>
    </row>
    <row r="334" spans="5:8">
      <c r="E334" s="14"/>
      <c r="F334" s="14"/>
      <c r="G334" s="14"/>
      <c r="H334" s="14"/>
    </row>
    <row r="335" spans="5:8">
      <c r="E335" s="14"/>
      <c r="F335" s="14"/>
      <c r="G335" s="14"/>
      <c r="H335" s="14"/>
    </row>
    <row r="336" spans="5:8">
      <c r="E336" s="13"/>
      <c r="F336" s="13"/>
      <c r="G336" s="13"/>
      <c r="H336" s="13"/>
    </row>
    <row r="337" spans="5:8">
      <c r="E337" s="13"/>
      <c r="F337" s="13"/>
      <c r="G337" s="13"/>
      <c r="H337" s="13"/>
    </row>
    <row r="338" spans="5:8">
      <c r="E338" s="13"/>
      <c r="F338" s="13"/>
      <c r="G338" s="13"/>
      <c r="H338" s="13"/>
    </row>
    <row r="339" spans="5:8">
      <c r="E339" s="13"/>
      <c r="F339" s="13"/>
      <c r="G339" s="13"/>
      <c r="H339" s="13"/>
    </row>
    <row r="340" spans="5:8">
      <c r="E340" s="13"/>
      <c r="F340" s="13"/>
      <c r="G340" s="13"/>
      <c r="H340" s="13"/>
    </row>
    <row r="341" spans="5:8">
      <c r="E341" s="13"/>
      <c r="F341" s="13"/>
      <c r="G341" s="13"/>
      <c r="H341" s="13"/>
    </row>
    <row r="342" spans="5:8">
      <c r="E342" s="13"/>
      <c r="F342" s="13"/>
      <c r="G342" s="13"/>
      <c r="H342" s="13"/>
    </row>
    <row r="343" spans="5:8">
      <c r="E343" s="14"/>
      <c r="F343" s="14"/>
      <c r="G343" s="14"/>
      <c r="H343" s="14"/>
    </row>
    <row r="344" spans="5:8">
      <c r="E344" s="14"/>
      <c r="F344" s="14"/>
      <c r="G344" s="14"/>
      <c r="H344" s="14"/>
    </row>
    <row r="345" spans="5:8">
      <c r="E345" s="13"/>
      <c r="F345" s="13"/>
      <c r="G345" s="13"/>
      <c r="H345" s="13"/>
    </row>
    <row r="346" spans="5:8">
      <c r="E346" s="13"/>
      <c r="F346" s="13"/>
      <c r="G346" s="13"/>
      <c r="H346" s="13"/>
    </row>
    <row r="347" spans="5:8">
      <c r="E347" s="13"/>
      <c r="F347" s="13"/>
      <c r="G347" s="13"/>
      <c r="H347" s="13"/>
    </row>
    <row r="348" spans="5:8">
      <c r="E348" s="13"/>
      <c r="F348" s="13"/>
      <c r="G348" s="13"/>
      <c r="H348" s="13"/>
    </row>
    <row r="349" spans="5:8">
      <c r="E349" s="13"/>
      <c r="F349" s="13"/>
      <c r="G349" s="13"/>
      <c r="H349" s="13"/>
    </row>
    <row r="350" spans="5:8">
      <c r="E350" s="13"/>
      <c r="F350" s="13"/>
      <c r="G350" s="13"/>
      <c r="H350" s="13"/>
    </row>
    <row r="351" spans="5:8">
      <c r="E351" s="13"/>
      <c r="F351" s="13"/>
      <c r="G351" s="13"/>
      <c r="H351" s="13"/>
    </row>
    <row r="352" spans="5:8">
      <c r="E352" s="14"/>
      <c r="F352" s="14"/>
      <c r="G352" s="14"/>
      <c r="H352" s="14"/>
    </row>
    <row r="353" spans="5:8">
      <c r="E353" s="14"/>
      <c r="F353" s="14"/>
      <c r="G353" s="14"/>
      <c r="H353" s="14"/>
    </row>
    <row r="354" spans="5:8">
      <c r="E354" s="13"/>
      <c r="F354" s="13"/>
      <c r="G354" s="13"/>
      <c r="H354" s="13"/>
    </row>
    <row r="355" spans="5:8">
      <c r="E355" s="13"/>
      <c r="F355" s="13"/>
      <c r="G355" s="13"/>
      <c r="H355" s="13"/>
    </row>
    <row r="356" spans="5:8">
      <c r="E356" s="13"/>
      <c r="F356" s="13"/>
      <c r="G356" s="13"/>
      <c r="H356" s="13"/>
    </row>
    <row r="357" spans="5:8">
      <c r="E357" s="13"/>
      <c r="F357" s="13"/>
      <c r="G357" s="13"/>
      <c r="H357" s="13"/>
    </row>
    <row r="358" spans="5:8">
      <c r="E358" s="13"/>
      <c r="F358" s="13"/>
      <c r="G358" s="13"/>
      <c r="H358" s="13"/>
    </row>
    <row r="359" spans="5:8">
      <c r="E359" s="13"/>
      <c r="F359" s="13"/>
      <c r="G359" s="13"/>
      <c r="H359" s="13"/>
    </row>
    <row r="360" spans="5:8">
      <c r="E360" s="13"/>
      <c r="F360" s="13"/>
      <c r="G360" s="13"/>
      <c r="H360" s="13"/>
    </row>
    <row r="361" spans="5:8">
      <c r="E361" s="14"/>
      <c r="F361" s="14"/>
      <c r="G361" s="14"/>
      <c r="H361" s="14"/>
    </row>
    <row r="362" spans="5:8">
      <c r="E362" s="14"/>
      <c r="F362" s="14"/>
      <c r="G362" s="14"/>
      <c r="H362" s="14"/>
    </row>
    <row r="363" spans="5:8">
      <c r="E363" s="13"/>
      <c r="F363" s="13"/>
      <c r="G363" s="13"/>
      <c r="H363" s="13"/>
    </row>
    <row r="364" spans="5:8">
      <c r="E364" s="13"/>
      <c r="F364" s="13"/>
      <c r="G364" s="13"/>
      <c r="H364" s="13"/>
    </row>
    <row r="365" spans="5:8">
      <c r="E365" s="13"/>
      <c r="F365" s="13"/>
      <c r="G365" s="13"/>
      <c r="H365" s="13"/>
    </row>
    <row r="366" spans="5:8">
      <c r="E366" s="13"/>
      <c r="F366" s="13"/>
      <c r="G366" s="13"/>
      <c r="H366" s="13"/>
    </row>
    <row r="367" spans="5:8">
      <c r="E367" s="13"/>
      <c r="F367" s="13"/>
      <c r="G367" s="13"/>
      <c r="H367" s="13"/>
    </row>
  </sheetData>
  <mergeCells count="13">
    <mergeCell ref="A7:H7"/>
    <mergeCell ref="A8:H8"/>
    <mergeCell ref="A10:B10"/>
    <mergeCell ref="A9:B9"/>
    <mergeCell ref="C11:D11"/>
    <mergeCell ref="C9:D10"/>
    <mergeCell ref="A11:B11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 Randive</dc:creator>
  <cp:lastModifiedBy>Deepika Chavan</cp:lastModifiedBy>
  <cp:lastPrinted>2020-11-04T07:26:10Z</cp:lastPrinted>
  <dcterms:created xsi:type="dcterms:W3CDTF">2018-08-16T09:22:21Z</dcterms:created>
  <dcterms:modified xsi:type="dcterms:W3CDTF">2022-09-13T09:02:40Z</dcterms:modified>
</cp:coreProperties>
</file>