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145" i="1" l="1"/>
  <c r="H144" i="1"/>
  <c r="G143" i="1"/>
  <c r="E143" i="1"/>
  <c r="H142" i="1"/>
  <c r="F142" i="1"/>
  <c r="G142" i="1" s="1"/>
  <c r="G141" i="1"/>
  <c r="F141" i="1"/>
  <c r="F140" i="1"/>
  <c r="G140" i="1" s="1"/>
  <c r="F139" i="1"/>
  <c r="G139" i="1" s="1"/>
  <c r="F138" i="1"/>
  <c r="G138" i="1" s="1"/>
  <c r="H136" i="1"/>
  <c r="F136" i="1"/>
  <c r="F144" i="1" s="1"/>
  <c r="G144" i="1" s="1"/>
  <c r="G135" i="1"/>
  <c r="G134" i="1"/>
  <c r="H133" i="1"/>
  <c r="G133" i="1"/>
  <c r="G132" i="1"/>
  <c r="E132" i="1"/>
  <c r="E139" i="1" s="1"/>
  <c r="G131" i="1"/>
  <c r="G136" i="1" s="1"/>
  <c r="E131" i="1"/>
  <c r="E136" i="1" s="1"/>
  <c r="H129" i="1"/>
  <c r="F129" i="1"/>
  <c r="H128" i="1"/>
  <c r="G128" i="1"/>
  <c r="H127" i="1"/>
  <c r="G127" i="1"/>
  <c r="E127" i="1"/>
  <c r="E141" i="1" s="1"/>
  <c r="G126" i="1"/>
  <c r="E126" i="1"/>
  <c r="E140" i="1" s="1"/>
  <c r="G125" i="1"/>
  <c r="E125" i="1"/>
  <c r="G124" i="1"/>
  <c r="G129" i="1" s="1"/>
  <c r="E124" i="1"/>
  <c r="E129" i="1" s="1"/>
  <c r="H122" i="1"/>
  <c r="F122" i="1"/>
  <c r="G121" i="1"/>
  <c r="E121" i="1"/>
  <c r="H120" i="1"/>
  <c r="G120" i="1"/>
  <c r="E120" i="1"/>
  <c r="E142" i="1" s="1"/>
  <c r="H119" i="1"/>
  <c r="G119" i="1"/>
  <c r="E119" i="1"/>
  <c r="H118" i="1"/>
  <c r="G118" i="1"/>
  <c r="E118" i="1"/>
  <c r="H117" i="1"/>
  <c r="G117" i="1"/>
  <c r="H116" i="1"/>
  <c r="G116" i="1"/>
  <c r="G122" i="1" s="1"/>
  <c r="E116" i="1"/>
  <c r="E122" i="1" s="1"/>
  <c r="H114" i="1"/>
  <c r="G114" i="1"/>
  <c r="F114" i="1"/>
  <c r="E114" i="1"/>
  <c r="G113" i="1"/>
  <c r="G112" i="1"/>
  <c r="G111" i="1"/>
  <c r="H110" i="1"/>
  <c r="G110" i="1"/>
  <c r="G109" i="1"/>
  <c r="H107" i="1"/>
  <c r="G107" i="1"/>
  <c r="F107" i="1"/>
  <c r="E107" i="1"/>
  <c r="G106" i="1"/>
  <c r="G105" i="1"/>
  <c r="H104" i="1"/>
  <c r="G104" i="1"/>
  <c r="G103" i="1"/>
  <c r="G102" i="1"/>
  <c r="H100" i="1"/>
  <c r="F100" i="1"/>
  <c r="E100" i="1"/>
  <c r="G99" i="1"/>
  <c r="G100" i="1" s="1"/>
  <c r="H98" i="1"/>
  <c r="G98" i="1"/>
  <c r="G97" i="1"/>
  <c r="G96" i="1"/>
  <c r="G95" i="1"/>
  <c r="E95" i="1"/>
  <c r="F93" i="1"/>
  <c r="E93" i="1"/>
  <c r="G92" i="1"/>
  <c r="G91" i="1"/>
  <c r="G90" i="1"/>
  <c r="G89" i="1"/>
  <c r="G93" i="1" s="1"/>
  <c r="G88" i="1"/>
  <c r="H86" i="1"/>
  <c r="F86" i="1"/>
  <c r="H85" i="1"/>
  <c r="G85" i="1"/>
  <c r="H84" i="1"/>
  <c r="G84" i="1"/>
  <c r="H83" i="1"/>
  <c r="G83" i="1"/>
  <c r="E83" i="1"/>
  <c r="E86" i="1" s="1"/>
  <c r="H82" i="1"/>
  <c r="G82" i="1"/>
  <c r="H81" i="1"/>
  <c r="G81" i="1"/>
  <c r="G86" i="1" s="1"/>
  <c r="E81" i="1"/>
  <c r="H79" i="1"/>
  <c r="F79" i="1"/>
  <c r="G78" i="1"/>
  <c r="E78" i="1"/>
  <c r="E79" i="1" s="1"/>
  <c r="G77" i="1"/>
  <c r="E77" i="1"/>
  <c r="H76" i="1"/>
  <c r="G76" i="1"/>
  <c r="E76" i="1"/>
  <c r="G75" i="1"/>
  <c r="E75" i="1"/>
  <c r="G74" i="1"/>
  <c r="G79" i="1" s="1"/>
  <c r="E74" i="1"/>
  <c r="H72" i="1"/>
  <c r="F72" i="1"/>
  <c r="E72" i="1"/>
  <c r="G71" i="1"/>
  <c r="E71" i="1"/>
  <c r="G70" i="1"/>
  <c r="E70" i="1"/>
  <c r="G69" i="1"/>
  <c r="E69" i="1"/>
  <c r="H68" i="1"/>
  <c r="G68" i="1"/>
  <c r="E68" i="1"/>
  <c r="G67" i="1"/>
  <c r="G72" i="1" s="1"/>
  <c r="E67" i="1"/>
  <c r="H65" i="1"/>
  <c r="F65" i="1"/>
  <c r="G64" i="1"/>
  <c r="E64" i="1"/>
  <c r="H63" i="1"/>
  <c r="G63" i="1"/>
  <c r="E63" i="1"/>
  <c r="G62" i="1"/>
  <c r="E62" i="1"/>
  <c r="G61" i="1"/>
  <c r="E61" i="1"/>
  <c r="G60" i="1"/>
  <c r="G65" i="1" s="1"/>
  <c r="E60" i="1"/>
  <c r="E65" i="1" s="1"/>
  <c r="H58" i="1"/>
  <c r="F58" i="1"/>
  <c r="G57" i="1"/>
  <c r="E57" i="1"/>
  <c r="H56" i="1"/>
  <c r="G56" i="1"/>
  <c r="E56" i="1"/>
  <c r="E58" i="1" s="1"/>
  <c r="G55" i="1"/>
  <c r="E55" i="1"/>
  <c r="G54" i="1"/>
  <c r="E54" i="1"/>
  <c r="G53" i="1"/>
  <c r="G58" i="1" s="1"/>
  <c r="H51" i="1"/>
  <c r="F51" i="1"/>
  <c r="G50" i="1"/>
  <c r="E50" i="1"/>
  <c r="H49" i="1"/>
  <c r="G49" i="1"/>
  <c r="E49" i="1"/>
  <c r="G48" i="1"/>
  <c r="E48" i="1"/>
  <c r="H47" i="1"/>
  <c r="G47" i="1"/>
  <c r="E47" i="1"/>
  <c r="G46" i="1"/>
  <c r="G51" i="1" s="1"/>
  <c r="E46" i="1"/>
  <c r="E51" i="1" s="1"/>
  <c r="H44" i="1"/>
  <c r="G44" i="1"/>
  <c r="F44" i="1"/>
  <c r="E44" i="1"/>
  <c r="G43" i="1"/>
  <c r="E43" i="1"/>
  <c r="G42" i="1"/>
  <c r="E42" i="1"/>
  <c r="H41" i="1"/>
  <c r="G41" i="1"/>
  <c r="E41" i="1"/>
  <c r="G40" i="1"/>
  <c r="G39" i="1"/>
  <c r="E39" i="1"/>
  <c r="H37" i="1"/>
  <c r="F37" i="1"/>
  <c r="G36" i="1"/>
  <c r="E36" i="1"/>
  <c r="G35" i="1"/>
  <c r="E35" i="1"/>
  <c r="G34" i="1"/>
  <c r="E34" i="1"/>
  <c r="H33" i="1"/>
  <c r="G33" i="1"/>
  <c r="E33" i="1"/>
  <c r="G32" i="1"/>
  <c r="G37" i="1" s="1"/>
  <c r="E32" i="1"/>
  <c r="E37" i="1" s="1"/>
  <c r="H30" i="1"/>
  <c r="F30" i="1"/>
  <c r="H29" i="1"/>
  <c r="G29" i="1"/>
  <c r="H28" i="1"/>
  <c r="G28" i="1"/>
  <c r="E28" i="1"/>
  <c r="H27" i="1"/>
  <c r="G27" i="1"/>
  <c r="E27" i="1"/>
  <c r="H26" i="1"/>
  <c r="G26" i="1"/>
  <c r="E26" i="1"/>
  <c r="H25" i="1"/>
  <c r="G25" i="1"/>
  <c r="G30" i="1" s="1"/>
  <c r="E25" i="1"/>
  <c r="E30" i="1" s="1"/>
  <c r="H23" i="1"/>
  <c r="F23" i="1"/>
  <c r="E23" i="1"/>
  <c r="G22" i="1"/>
  <c r="E22" i="1"/>
  <c r="G21" i="1"/>
  <c r="E21" i="1"/>
  <c r="G20" i="1"/>
  <c r="E20" i="1"/>
  <c r="H19" i="1"/>
  <c r="G19" i="1"/>
  <c r="E19" i="1"/>
  <c r="G18" i="1"/>
  <c r="G23" i="1" s="1"/>
  <c r="E18" i="1"/>
  <c r="H16" i="1"/>
  <c r="F16" i="1"/>
  <c r="G15" i="1"/>
  <c r="E15" i="1"/>
  <c r="G14" i="1"/>
  <c r="E14" i="1"/>
  <c r="G13" i="1"/>
  <c r="E13" i="1"/>
  <c r="G12" i="1"/>
  <c r="E12" i="1"/>
  <c r="H11" i="1"/>
  <c r="G11" i="1"/>
  <c r="G16" i="1" s="1"/>
  <c r="E11" i="1"/>
  <c r="E16" i="1" s="1"/>
  <c r="E144" i="1" l="1"/>
  <c r="E138" i="1"/>
</calcChain>
</file>

<file path=xl/sharedStrings.xml><?xml version="1.0" encoding="utf-8"?>
<sst xmlns="http://schemas.openxmlformats.org/spreadsheetml/2006/main" count="291" uniqueCount="73">
  <si>
    <t>STATEMENT  - 3</t>
  </si>
  <si>
    <t>DISTRIBUTION OF SCHEMES SANCTIONED PURPOSE-WISE</t>
  </si>
  <si>
    <t>PURPOSE</t>
  </si>
  <si>
    <t>AGENCY</t>
  </si>
  <si>
    <t>FINANCIAL ASSISTANCE</t>
  </si>
  <si>
    <t>COMMITMENT</t>
  </si>
  <si>
    <t>Minor Irrigation</t>
  </si>
  <si>
    <t>SCARDBs</t>
  </si>
  <si>
    <t>CBs</t>
  </si>
  <si>
    <t>SCBs</t>
  </si>
  <si>
    <t>RRBs</t>
  </si>
  <si>
    <t>Land Development</t>
  </si>
  <si>
    <t>Farm Mechanisation</t>
  </si>
  <si>
    <t>Plantation/Horticulture</t>
  </si>
  <si>
    <t>Fisheries</t>
  </si>
  <si>
    <t>Dairy Development</t>
  </si>
  <si>
    <t>Forestry</t>
  </si>
  <si>
    <t>Bio Gas Plants</t>
  </si>
  <si>
    <t>Non-farm Sector</t>
  </si>
  <si>
    <t>Seed Project *</t>
  </si>
  <si>
    <t xml:space="preserve">Self  Help  Group </t>
  </si>
  <si>
    <t>SC/ST Action Plan *</t>
  </si>
  <si>
    <t>SGSY</t>
  </si>
  <si>
    <t>Others</t>
  </si>
  <si>
    <t xml:space="preserve"> </t>
  </si>
  <si>
    <t>ALL PURPOSES</t>
  </si>
  <si>
    <t xml:space="preserve">प्रयोजन </t>
  </si>
  <si>
    <t xml:space="preserve">संस्था </t>
  </si>
  <si>
    <t xml:space="preserve">वित्तीय सहायता </t>
  </si>
  <si>
    <t xml:space="preserve">नाबार्ड की प्रतिबद्धता </t>
  </si>
  <si>
    <t xml:space="preserve">लघु सिंचाई </t>
  </si>
  <si>
    <t xml:space="preserve">भूमि विकास </t>
  </si>
  <si>
    <t xml:space="preserve">कृषि मशीनीकरण </t>
  </si>
  <si>
    <t xml:space="preserve">बागान / बागवानी </t>
  </si>
  <si>
    <t xml:space="preserve">मत्स्यपालन </t>
  </si>
  <si>
    <t xml:space="preserve">डेयरी विकास </t>
  </si>
  <si>
    <t xml:space="preserve">वानिकी </t>
  </si>
  <si>
    <t>बायो-गैस संयंत्र</t>
  </si>
  <si>
    <t>गैर-कृषि क्षेत्र</t>
  </si>
  <si>
    <t>बीज परियोजना*</t>
  </si>
  <si>
    <t>स्वयं सहायता समूह</t>
  </si>
  <si>
    <t>अन्य</t>
  </si>
  <si>
    <t>पशुपालन (अन्य )</t>
  </si>
  <si>
    <t>सभी प्रयोजन</t>
  </si>
  <si>
    <t>रासकृग्रावि बंकैं</t>
  </si>
  <si>
    <t>वाणिज्य बंकैं</t>
  </si>
  <si>
    <t>रास बंकैं</t>
  </si>
  <si>
    <t>क्षेग्रा बंकैं</t>
  </si>
  <si>
    <t>कुल</t>
  </si>
  <si>
    <t>Total</t>
  </si>
  <si>
    <t>विवरण 3</t>
  </si>
  <si>
    <t>AH (Others)</t>
  </si>
  <si>
    <t>एग्रीक्लीनिक और एग्रीबिजनेस</t>
  </si>
  <si>
    <t>Agriclinics and Agribusiness</t>
  </si>
  <si>
    <t>मुर्गी / भेड़/ बकरी/सूअरपालन</t>
  </si>
  <si>
    <t>Poultry  and Sheep/Goat/Piggery</t>
  </si>
  <si>
    <t>भंडारण / गोदाम एवं मंडी स्थल</t>
  </si>
  <si>
    <t>Storage / Godowns &amp; Market Yards</t>
  </si>
  <si>
    <t>अजा/ अजजा कार्ययोजना*</t>
  </si>
  <si>
    <t>स्वर्ण जयंती ग्राम स्वरोजगार योजना</t>
  </si>
  <si>
    <t>Difference in Total, if any, is on account of rounding off.</t>
  </si>
  <si>
    <t>AND AGENCY-WISE DURING THE PERIOD ENDED 31 MARCH 2022</t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</si>
  <si>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करोड़)</t>
    </r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</si>
  <si>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Crore)</t>
    </r>
  </si>
  <si>
    <t>वर्ष 2021-22 के दौरान संवितरण</t>
  </si>
  <si>
    <t>31 मार्च 2022 तक संचयी वितरण</t>
  </si>
  <si>
    <t>DISBURSEMENT DURING
 2021-22</t>
  </si>
  <si>
    <t>CUMULATIVE DISBURSEMENT AS ON 31 MARCH 2022</t>
  </si>
  <si>
    <t>NBFC/MFI/Subsidiary</t>
  </si>
  <si>
    <t>State Govt.</t>
  </si>
  <si>
    <t>राज्य सरकार</t>
  </si>
  <si>
    <t>एनबिएफ़सि/एमएफ़आई/सब्सिडियरी</t>
  </si>
  <si>
    <t>31 मार्च 2022 को समाप्त अवधि के दौरान मंजूर योजनाओं का प्रयोजन-वार एवं संस्था-वार वितरण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</si>
</sst>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1"/>
      <color indexed="8"/>
      <name val="Georgia"/>
      <family val="1"/>
    </font>
    <font>
      <sz val="11"/>
      <name val="Georgia"/>
      <family val="1"/>
    </font>
    <font>
      <sz val="11"/>
      <name val="Rupee Foradi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0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/>
    <xf numFmtId="0" fontId="4" fillId="0" borderId="0" xfId="0" applyNumberFormat="1" applyFont="1" applyBorder="1" applyAlignment="1"/>
    <xf numFmtId="0" fontId="2" fillId="0" borderId="0" xfId="0" applyFont="1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 applyProtection="1">
      <alignment vertical="top"/>
      <protection locked="0"/>
    </xf>
    <xf numFmtId="0" fontId="1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 vertical="top"/>
    </xf>
    <xf numFmtId="1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/>
    </xf>
    <xf numFmtId="1" fontId="1" fillId="0" borderId="2" xfId="0" applyNumberFormat="1" applyFont="1" applyBorder="1" applyAlignment="1">
      <alignment horizontal="right" vertical="top"/>
    </xf>
    <xf numFmtId="1" fontId="1" fillId="0" borderId="1" xfId="0" applyNumberFormat="1" applyFont="1" applyBorder="1"/>
    <xf numFmtId="1" fontId="2" fillId="0" borderId="2" xfId="0" applyNumberFormat="1" applyFont="1" applyBorder="1" applyAlignment="1">
      <alignment horizontal="right" vertical="top"/>
    </xf>
    <xf numFmtId="1" fontId="2" fillId="0" borderId="1" xfId="0" applyNumberFormat="1" applyFont="1" applyBorder="1"/>
    <xf numFmtId="1" fontId="2" fillId="0" borderId="2" xfId="0" applyNumberFormat="1" applyFont="1" applyBorder="1" applyAlignment="1">
      <alignment vertical="top"/>
    </xf>
    <xf numFmtId="1" fontId="2" fillId="0" borderId="3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horizontal="right" vertical="top"/>
    </xf>
    <xf numFmtId="0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wati.ranadive\Desktop\Hindi%20Statistical%20Statements%202019-20\Hindi%20Statement%203%20PURPOSE%20DOR%20201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>
        <row r="139">
          <cell r="A139" t="str">
            <v>जोड़ में यदि कोई अंतर है, तो वह पूर्णांकन के कारण है.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6"/>
  <sheetViews>
    <sheetView tabSelected="1" view="pageBreakPreview" zoomScaleNormal="70" zoomScaleSheetLayoutView="100" workbookViewId="0">
      <selection sqref="A1:H1"/>
    </sheetView>
  </sheetViews>
  <sheetFormatPr defaultRowHeight="14.25"/>
  <cols>
    <col min="1" max="1" width="32.85546875" style="5" customWidth="1"/>
    <col min="2" max="2" width="34.85546875" style="1" customWidth="1"/>
    <col min="3" max="3" width="33.5703125" style="1" customWidth="1"/>
    <col min="4" max="4" width="23.7109375" style="1" customWidth="1"/>
    <col min="5" max="5" width="17.42578125" style="16" customWidth="1"/>
    <col min="6" max="6" width="18.85546875" style="16" customWidth="1"/>
    <col min="7" max="7" width="21.5703125" style="16" customWidth="1"/>
    <col min="8" max="8" width="21" style="16" customWidth="1"/>
    <col min="9" max="16384" width="9.140625" style="1"/>
  </cols>
  <sheetData>
    <row r="1" spans="1:10" ht="18.75" customHeight="1">
      <c r="A1" s="32" t="s">
        <v>50</v>
      </c>
      <c r="B1" s="32"/>
      <c r="C1" s="32"/>
      <c r="D1" s="32"/>
      <c r="E1" s="32"/>
      <c r="F1" s="32"/>
      <c r="G1" s="32"/>
      <c r="H1" s="32"/>
    </row>
    <row r="2" spans="1:10" ht="18.75" customHeight="1">
      <c r="A2" s="32" t="s">
        <v>72</v>
      </c>
      <c r="B2" s="32"/>
      <c r="C2" s="32"/>
      <c r="D2" s="32"/>
      <c r="E2" s="32"/>
      <c r="F2" s="32"/>
      <c r="G2" s="32"/>
      <c r="H2" s="32"/>
    </row>
    <row r="3" spans="1:10">
      <c r="A3" s="32" t="s">
        <v>0</v>
      </c>
      <c r="B3" s="32"/>
      <c r="C3" s="32"/>
      <c r="D3" s="32"/>
      <c r="E3" s="32"/>
      <c r="F3" s="32"/>
      <c r="G3" s="32"/>
      <c r="H3" s="32"/>
    </row>
    <row r="4" spans="1:10">
      <c r="A4" s="33" t="s">
        <v>1</v>
      </c>
      <c r="B4" s="33"/>
      <c r="C4" s="33"/>
      <c r="D4" s="33"/>
      <c r="E4" s="33"/>
      <c r="F4" s="33"/>
      <c r="G4" s="33"/>
      <c r="H4" s="33"/>
    </row>
    <row r="5" spans="1:10">
      <c r="A5" s="33" t="s">
        <v>61</v>
      </c>
      <c r="B5" s="33"/>
      <c r="C5" s="33"/>
      <c r="D5" s="33"/>
      <c r="E5" s="33"/>
      <c r="F5" s="33"/>
      <c r="G5" s="33"/>
      <c r="H5" s="33"/>
    </row>
    <row r="6" spans="1:10">
      <c r="A6" s="30" t="s">
        <v>62</v>
      </c>
      <c r="B6" s="30"/>
      <c r="C6" s="30"/>
      <c r="D6" s="30"/>
      <c r="E6" s="30"/>
      <c r="F6" s="30"/>
      <c r="G6" s="30"/>
      <c r="H6" s="30"/>
    </row>
    <row r="7" spans="1:10">
      <c r="A7" s="30" t="s">
        <v>63</v>
      </c>
      <c r="B7" s="30"/>
      <c r="C7" s="30"/>
      <c r="D7" s="30"/>
      <c r="E7" s="30"/>
      <c r="F7" s="30"/>
      <c r="G7" s="30"/>
      <c r="H7" s="30"/>
    </row>
    <row r="8" spans="1:10" s="4" customFormat="1" ht="28.5">
      <c r="A8" s="29" t="s">
        <v>26</v>
      </c>
      <c r="B8" s="29"/>
      <c r="C8" s="29" t="s">
        <v>27</v>
      </c>
      <c r="D8" s="29"/>
      <c r="E8" s="18" t="s">
        <v>28</v>
      </c>
      <c r="F8" s="6" t="s">
        <v>29</v>
      </c>
      <c r="G8" s="18" t="s">
        <v>64</v>
      </c>
      <c r="H8" s="18" t="s">
        <v>65</v>
      </c>
      <c r="I8" s="2"/>
      <c r="J8" s="3"/>
    </row>
    <row r="9" spans="1:10" ht="57">
      <c r="A9" s="29" t="s">
        <v>2</v>
      </c>
      <c r="B9" s="29"/>
      <c r="C9" s="29" t="s">
        <v>3</v>
      </c>
      <c r="D9" s="29"/>
      <c r="E9" s="18" t="s">
        <v>4</v>
      </c>
      <c r="F9" s="6" t="s">
        <v>5</v>
      </c>
      <c r="G9" s="18" t="s">
        <v>66</v>
      </c>
      <c r="H9" s="18" t="s">
        <v>67</v>
      </c>
    </row>
    <row r="10" spans="1:10" ht="15.75" customHeight="1">
      <c r="A10" s="17"/>
      <c r="B10" s="19">
        <v>1</v>
      </c>
      <c r="C10" s="31">
        <v>2</v>
      </c>
      <c r="D10" s="31"/>
      <c r="E10" s="19">
        <v>3</v>
      </c>
      <c r="F10" s="7">
        <v>4</v>
      </c>
      <c r="G10" s="19">
        <v>5</v>
      </c>
      <c r="H10" s="19">
        <v>6</v>
      </c>
    </row>
    <row r="11" spans="1:10">
      <c r="A11" s="8" t="s">
        <v>30</v>
      </c>
      <c r="B11" s="8" t="s">
        <v>6</v>
      </c>
      <c r="C11" s="9" t="s">
        <v>44</v>
      </c>
      <c r="D11" s="9" t="s">
        <v>7</v>
      </c>
      <c r="E11" s="13">
        <f t="shared" ref="E11:E15" si="0">+F11/0.9</f>
        <v>68.36785519999998</v>
      </c>
      <c r="F11" s="14">
        <v>61.531069679999987</v>
      </c>
      <c r="G11" s="20">
        <f>F11</f>
        <v>61.531069679999987</v>
      </c>
      <c r="H11" s="21">
        <f>11729.33450968+5</f>
        <v>11734.33450968</v>
      </c>
    </row>
    <row r="12" spans="1:10">
      <c r="A12" s="10"/>
      <c r="B12" s="8"/>
      <c r="C12" s="9" t="s">
        <v>45</v>
      </c>
      <c r="D12" s="9" t="s">
        <v>8</v>
      </c>
      <c r="E12" s="13">
        <f t="shared" si="0"/>
        <v>400.51844444444447</v>
      </c>
      <c r="F12" s="14">
        <v>360.46660000000003</v>
      </c>
      <c r="G12" s="20">
        <f t="shared" ref="G12:G75" si="1">F12</f>
        <v>360.46660000000003</v>
      </c>
      <c r="H12" s="21">
        <v>6108.1049099999982</v>
      </c>
    </row>
    <row r="13" spans="1:10">
      <c r="A13" s="8"/>
      <c r="B13" s="8"/>
      <c r="C13" s="9" t="s">
        <v>46</v>
      </c>
      <c r="D13" s="9" t="s">
        <v>9</v>
      </c>
      <c r="E13" s="13">
        <f t="shared" si="0"/>
        <v>640.48042411111089</v>
      </c>
      <c r="F13" s="14">
        <v>576.43238169999984</v>
      </c>
      <c r="G13" s="20">
        <f t="shared" si="1"/>
        <v>576.43238169999984</v>
      </c>
      <c r="H13" s="21">
        <v>5981.3088219999991</v>
      </c>
    </row>
    <row r="14" spans="1:10">
      <c r="A14" s="10"/>
      <c r="B14" s="8"/>
      <c r="C14" s="9" t="s">
        <v>47</v>
      </c>
      <c r="D14" s="9" t="s">
        <v>10</v>
      </c>
      <c r="E14" s="13">
        <f t="shared" si="0"/>
        <v>447.00012599999997</v>
      </c>
      <c r="F14" s="14">
        <v>402.30011339999999</v>
      </c>
      <c r="G14" s="20">
        <f t="shared" si="1"/>
        <v>402.30011339999999</v>
      </c>
      <c r="H14" s="21">
        <v>3563.5505653999999</v>
      </c>
    </row>
    <row r="15" spans="1:10">
      <c r="A15" s="10"/>
      <c r="B15" s="8"/>
      <c r="C15" s="9" t="s">
        <v>71</v>
      </c>
      <c r="D15" s="9" t="s">
        <v>68</v>
      </c>
      <c r="E15" s="13">
        <f t="shared" si="0"/>
        <v>4.0041111111111105</v>
      </c>
      <c r="F15" s="14">
        <v>3.6036999999999999</v>
      </c>
      <c r="G15" s="20">
        <f t="shared" si="1"/>
        <v>3.6036999999999999</v>
      </c>
      <c r="H15" s="21">
        <v>88.073599999999999</v>
      </c>
    </row>
    <row r="16" spans="1:10">
      <c r="A16" s="10"/>
      <c r="B16" s="10"/>
      <c r="C16" s="10" t="s">
        <v>48</v>
      </c>
      <c r="D16" s="10" t="s">
        <v>49</v>
      </c>
      <c r="E16" s="12">
        <f>SUM(E11:E15)</f>
        <v>1560.3709608666663</v>
      </c>
      <c r="F16" s="12">
        <f t="shared" ref="F16:G16" si="2">SUM(F11:F15)</f>
        <v>1404.3338647799999</v>
      </c>
      <c r="G16" s="22">
        <f t="shared" si="2"/>
        <v>1404.3338647799999</v>
      </c>
      <c r="H16" s="23">
        <f>27470.37240708+5</f>
        <v>27475.372407080002</v>
      </c>
    </row>
    <row r="17" spans="1:8" ht="15" customHeight="1">
      <c r="A17" s="24"/>
      <c r="B17" s="25"/>
      <c r="C17" s="25"/>
      <c r="D17" s="25"/>
      <c r="E17" s="25"/>
      <c r="F17" s="25"/>
      <c r="G17" s="25"/>
      <c r="H17" s="21"/>
    </row>
    <row r="18" spans="1:8">
      <c r="A18" s="8" t="s">
        <v>31</v>
      </c>
      <c r="B18" s="8" t="s">
        <v>11</v>
      </c>
      <c r="C18" s="9" t="s">
        <v>44</v>
      </c>
      <c r="D18" s="9" t="s">
        <v>7</v>
      </c>
      <c r="E18" s="13">
        <f>+F18/0.9</f>
        <v>259.98195853333328</v>
      </c>
      <c r="F18" s="14">
        <v>233.98376267999996</v>
      </c>
      <c r="G18" s="20">
        <f t="shared" si="1"/>
        <v>233.98376267999996</v>
      </c>
      <c r="H18" s="21">
        <v>3754.5689526800006</v>
      </c>
    </row>
    <row r="19" spans="1:8">
      <c r="A19" s="10"/>
      <c r="B19" s="8"/>
      <c r="C19" s="9" t="s">
        <v>45</v>
      </c>
      <c r="D19" s="9" t="s">
        <v>8</v>
      </c>
      <c r="E19" s="13">
        <f t="shared" ref="E19:E22" si="3">+F19/0.9</f>
        <v>446.8906666666665</v>
      </c>
      <c r="F19" s="14">
        <v>402.20159999999987</v>
      </c>
      <c r="G19" s="20">
        <f t="shared" si="1"/>
        <v>402.20159999999987</v>
      </c>
      <c r="H19" s="21">
        <f>13546.65284+3</f>
        <v>13549.652840000001</v>
      </c>
    </row>
    <row r="20" spans="1:8">
      <c r="A20" s="8"/>
      <c r="B20" s="8"/>
      <c r="C20" s="9" t="s">
        <v>46</v>
      </c>
      <c r="D20" s="9" t="s">
        <v>9</v>
      </c>
      <c r="E20" s="13">
        <f t="shared" si="3"/>
        <v>2158.3729126666658</v>
      </c>
      <c r="F20" s="14">
        <v>1942.5356213999994</v>
      </c>
      <c r="G20" s="20">
        <f t="shared" si="1"/>
        <v>1942.5356213999994</v>
      </c>
      <c r="H20" s="21">
        <v>6918.6138051999997</v>
      </c>
    </row>
    <row r="21" spans="1:8">
      <c r="A21" s="10"/>
      <c r="B21" s="8"/>
      <c r="C21" s="9" t="s">
        <v>47</v>
      </c>
      <c r="D21" s="9" t="s">
        <v>10</v>
      </c>
      <c r="E21" s="13">
        <f t="shared" si="3"/>
        <v>1322.8672438888884</v>
      </c>
      <c r="F21" s="14">
        <v>1190.5805194999996</v>
      </c>
      <c r="G21" s="20">
        <f t="shared" si="1"/>
        <v>1190.5805194999996</v>
      </c>
      <c r="H21" s="21">
        <v>6565.8215479999999</v>
      </c>
    </row>
    <row r="22" spans="1:8">
      <c r="A22" s="10"/>
      <c r="B22" s="8"/>
      <c r="C22" s="9" t="s">
        <v>71</v>
      </c>
      <c r="D22" s="9" t="s">
        <v>68</v>
      </c>
      <c r="E22" s="13">
        <f t="shared" si="3"/>
        <v>1.0202222222222221</v>
      </c>
      <c r="F22" s="14">
        <v>0.91820000000000002</v>
      </c>
      <c r="G22" s="20">
        <f t="shared" si="1"/>
        <v>0.91820000000000002</v>
      </c>
      <c r="H22" s="21">
        <v>19.0901</v>
      </c>
    </row>
    <row r="23" spans="1:8">
      <c r="A23" s="10"/>
      <c r="B23" s="10"/>
      <c r="C23" s="10" t="s">
        <v>48</v>
      </c>
      <c r="D23" s="10" t="s">
        <v>49</v>
      </c>
      <c r="E23" s="12">
        <f t="shared" ref="E23:G23" si="4">SUM(E18:E22)</f>
        <v>4189.1330039777758</v>
      </c>
      <c r="F23" s="12">
        <f t="shared" si="4"/>
        <v>3770.2197035799991</v>
      </c>
      <c r="G23" s="22">
        <f t="shared" si="4"/>
        <v>3770.2197035799991</v>
      </c>
      <c r="H23" s="23">
        <f>30804.74724588+3</f>
        <v>30807.74724588</v>
      </c>
    </row>
    <row r="24" spans="1:8">
      <c r="A24" s="24"/>
      <c r="B24" s="25"/>
      <c r="C24" s="25"/>
      <c r="D24" s="25"/>
      <c r="E24" s="25"/>
      <c r="F24" s="25"/>
      <c r="G24" s="25"/>
      <c r="H24" s="21"/>
    </row>
    <row r="25" spans="1:8">
      <c r="A25" s="8" t="s">
        <v>32</v>
      </c>
      <c r="B25" s="8" t="s">
        <v>12</v>
      </c>
      <c r="C25" s="9" t="s">
        <v>44</v>
      </c>
      <c r="D25" s="9" t="s">
        <v>7</v>
      </c>
      <c r="E25" s="13">
        <f>+F25/0.9</f>
        <v>188.65675555555558</v>
      </c>
      <c r="F25" s="14">
        <v>169.79108000000002</v>
      </c>
      <c r="G25" s="20">
        <f t="shared" si="1"/>
        <v>169.79108000000002</v>
      </c>
      <c r="H25" s="21">
        <f>11537.691+5709</f>
        <v>17246.690999999999</v>
      </c>
    </row>
    <row r="26" spans="1:8">
      <c r="A26" s="10"/>
      <c r="B26" s="8"/>
      <c r="C26" s="9" t="s">
        <v>45</v>
      </c>
      <c r="D26" s="9" t="s">
        <v>8</v>
      </c>
      <c r="E26" s="13">
        <f t="shared" ref="E26:E36" si="5">+F26/0.95</f>
        <v>11414.250421052642</v>
      </c>
      <c r="F26" s="14">
        <v>10843.53790000001</v>
      </c>
      <c r="G26" s="20">
        <f t="shared" si="1"/>
        <v>10843.53790000001</v>
      </c>
      <c r="H26" s="21">
        <f>24719.2979+5709</f>
        <v>30428.297900000001</v>
      </c>
    </row>
    <row r="27" spans="1:8">
      <c r="A27" s="8"/>
      <c r="B27" s="8"/>
      <c r="C27" s="9" t="s">
        <v>46</v>
      </c>
      <c r="D27" s="10" t="s">
        <v>9</v>
      </c>
      <c r="E27" s="13">
        <f t="shared" si="5"/>
        <v>780.59750778947353</v>
      </c>
      <c r="F27" s="14">
        <v>741.56763239999987</v>
      </c>
      <c r="G27" s="20">
        <f t="shared" si="1"/>
        <v>741.56763239999987</v>
      </c>
      <c r="H27" s="21">
        <f>8235.1261226+5709</f>
        <v>13944.126122600001</v>
      </c>
    </row>
    <row r="28" spans="1:8">
      <c r="A28" s="10"/>
      <c r="B28" s="8"/>
      <c r="C28" s="9" t="s">
        <v>47</v>
      </c>
      <c r="D28" s="9" t="s">
        <v>10</v>
      </c>
      <c r="E28" s="13">
        <f t="shared" si="5"/>
        <v>1076.3111063157892</v>
      </c>
      <c r="F28" s="14">
        <v>1022.4955509999998</v>
      </c>
      <c r="G28" s="20">
        <f t="shared" si="1"/>
        <v>1022.4955509999998</v>
      </c>
      <c r="H28" s="21">
        <f>13528.5295999+5709</f>
        <v>19237.529599900001</v>
      </c>
    </row>
    <row r="29" spans="1:8">
      <c r="A29" s="10"/>
      <c r="B29" s="8"/>
      <c r="C29" s="9" t="s">
        <v>71</v>
      </c>
      <c r="D29" s="9" t="s">
        <v>68</v>
      </c>
      <c r="E29" s="13">
        <v>3416</v>
      </c>
      <c r="F29" s="14">
        <v>3122.3352888999998</v>
      </c>
      <c r="G29" s="20">
        <f t="shared" si="1"/>
        <v>3122.3352888999998</v>
      </c>
      <c r="H29" s="21">
        <f>3810.9683889+5709</f>
        <v>9519.9683889000007</v>
      </c>
    </row>
    <row r="30" spans="1:8">
      <c r="A30" s="10"/>
      <c r="B30" s="10"/>
      <c r="C30" s="10" t="s">
        <v>48</v>
      </c>
      <c r="D30" s="10" t="s">
        <v>49</v>
      </c>
      <c r="E30" s="12">
        <f t="shared" ref="E30:G30" si="6">SUM(E25:E29)</f>
        <v>16875.815790713459</v>
      </c>
      <c r="F30" s="12">
        <f t="shared" si="6"/>
        <v>15899.727452300011</v>
      </c>
      <c r="G30" s="22">
        <f t="shared" si="6"/>
        <v>15899.727452300011</v>
      </c>
      <c r="H30" s="23">
        <f>61831.6130114+28543</f>
        <v>90374.613011399997</v>
      </c>
    </row>
    <row r="31" spans="1:8">
      <c r="A31" s="24"/>
      <c r="B31" s="25"/>
      <c r="C31" s="25"/>
      <c r="D31" s="25"/>
      <c r="E31" s="25"/>
      <c r="F31" s="25"/>
      <c r="G31" s="25"/>
      <c r="H31" s="21"/>
    </row>
    <row r="32" spans="1:8">
      <c r="A32" s="8" t="s">
        <v>33</v>
      </c>
      <c r="B32" s="8" t="s">
        <v>13</v>
      </c>
      <c r="C32" s="9" t="s">
        <v>44</v>
      </c>
      <c r="D32" s="9" t="s">
        <v>7</v>
      </c>
      <c r="E32" s="13">
        <f t="shared" si="5"/>
        <v>759.51502530526318</v>
      </c>
      <c r="F32" s="14">
        <v>721.53927404000001</v>
      </c>
      <c r="G32" s="20">
        <f t="shared" si="1"/>
        <v>721.53927404000001</v>
      </c>
      <c r="H32" s="21">
        <v>6491.3916140399997</v>
      </c>
    </row>
    <row r="33" spans="1:8">
      <c r="A33" s="8"/>
      <c r="B33" s="8"/>
      <c r="C33" s="9" t="s">
        <v>45</v>
      </c>
      <c r="D33" s="9" t="s">
        <v>8</v>
      </c>
      <c r="E33" s="13">
        <f t="shared" si="5"/>
        <v>4397.4357894736831</v>
      </c>
      <c r="F33" s="14">
        <v>4177.5639999999985</v>
      </c>
      <c r="G33" s="20">
        <f t="shared" si="1"/>
        <v>4177.5639999999985</v>
      </c>
      <c r="H33" s="21">
        <f>13643.84679-16</f>
        <v>13627.84679</v>
      </c>
    </row>
    <row r="34" spans="1:8">
      <c r="A34" s="8"/>
      <c r="B34" s="8"/>
      <c r="C34" s="9" t="s">
        <v>46</v>
      </c>
      <c r="D34" s="9" t="s">
        <v>9</v>
      </c>
      <c r="E34" s="13">
        <f t="shared" si="5"/>
        <v>181.11102010526315</v>
      </c>
      <c r="F34" s="14">
        <v>172.05546909999998</v>
      </c>
      <c r="G34" s="20">
        <f t="shared" si="1"/>
        <v>172.05546909999998</v>
      </c>
      <c r="H34" s="21">
        <v>1429.4955390999999</v>
      </c>
    </row>
    <row r="35" spans="1:8">
      <c r="A35" s="8"/>
      <c r="B35" s="8"/>
      <c r="C35" s="9" t="s">
        <v>47</v>
      </c>
      <c r="D35" s="9" t="s">
        <v>10</v>
      </c>
      <c r="E35" s="13">
        <f t="shared" si="5"/>
        <v>166.42577294736844</v>
      </c>
      <c r="F35" s="14">
        <v>158.10448430000002</v>
      </c>
      <c r="G35" s="20">
        <f t="shared" si="1"/>
        <v>158.10448430000002</v>
      </c>
      <c r="H35" s="21">
        <v>3771.9793891000004</v>
      </c>
    </row>
    <row r="36" spans="1:8">
      <c r="A36" s="8"/>
      <c r="B36" s="8"/>
      <c r="C36" s="9" t="s">
        <v>71</v>
      </c>
      <c r="D36" s="9" t="s">
        <v>68</v>
      </c>
      <c r="E36" s="13">
        <f t="shared" si="5"/>
        <v>204.04674978947375</v>
      </c>
      <c r="F36" s="14">
        <v>193.84441230000004</v>
      </c>
      <c r="G36" s="20">
        <f t="shared" si="1"/>
        <v>193.84441230000004</v>
      </c>
      <c r="H36" s="21">
        <v>265.43001230000004</v>
      </c>
    </row>
    <row r="37" spans="1:8">
      <c r="A37" s="10"/>
      <c r="B37" s="10"/>
      <c r="C37" s="10" t="s">
        <v>48</v>
      </c>
      <c r="D37" s="10" t="s">
        <v>49</v>
      </c>
      <c r="E37" s="12">
        <f t="shared" ref="E37:G37" si="7">SUM(E32:E36)</f>
        <v>5708.5343576210516</v>
      </c>
      <c r="F37" s="12">
        <f t="shared" si="7"/>
        <v>5423.1076397399984</v>
      </c>
      <c r="G37" s="22">
        <f t="shared" si="7"/>
        <v>5423.1076397399984</v>
      </c>
      <c r="H37" s="23">
        <f>25602.14334454-16</f>
        <v>25586.14334454</v>
      </c>
    </row>
    <row r="38" spans="1:8">
      <c r="A38" s="24"/>
      <c r="B38" s="25"/>
      <c r="C38" s="25"/>
      <c r="D38" s="25"/>
      <c r="E38" s="25"/>
      <c r="F38" s="25"/>
      <c r="G38" s="25"/>
      <c r="H38" s="21"/>
    </row>
    <row r="39" spans="1:8">
      <c r="A39" s="8" t="s">
        <v>54</v>
      </c>
      <c r="B39" s="8" t="s">
        <v>55</v>
      </c>
      <c r="C39" s="9" t="s">
        <v>44</v>
      </c>
      <c r="D39" s="9" t="s">
        <v>7</v>
      </c>
      <c r="E39" s="13">
        <f>+F39/0.9</f>
        <v>135.664571</v>
      </c>
      <c r="F39" s="14">
        <v>122.09811389999999</v>
      </c>
      <c r="G39" s="20">
        <f t="shared" si="1"/>
        <v>122.09811389999999</v>
      </c>
      <c r="H39" s="21">
        <v>3625.9496208999999</v>
      </c>
    </row>
    <row r="40" spans="1:8">
      <c r="A40" s="8"/>
      <c r="B40" s="8"/>
      <c r="C40" s="9" t="s">
        <v>45</v>
      </c>
      <c r="D40" s="9" t="s">
        <v>8</v>
      </c>
      <c r="E40" s="13">
        <v>340</v>
      </c>
      <c r="F40" s="14">
        <v>269.16310000000004</v>
      </c>
      <c r="G40" s="20">
        <f t="shared" si="1"/>
        <v>269.16310000000004</v>
      </c>
      <c r="H40" s="21">
        <v>2773.6051300000004</v>
      </c>
    </row>
    <row r="41" spans="1:8">
      <c r="A41" s="8"/>
      <c r="B41" s="8"/>
      <c r="C41" s="9" t="s">
        <v>46</v>
      </c>
      <c r="D41" s="10" t="s">
        <v>9</v>
      </c>
      <c r="E41" s="13">
        <f t="shared" ref="E41:E43" si="8">+F41/0.95</f>
        <v>1755.7081005263153</v>
      </c>
      <c r="F41" s="14">
        <v>1667.9226954999995</v>
      </c>
      <c r="G41" s="20">
        <f t="shared" si="1"/>
        <v>1667.9226954999995</v>
      </c>
      <c r="H41" s="21">
        <f>3791.9038355-148</f>
        <v>3643.9038354999998</v>
      </c>
    </row>
    <row r="42" spans="1:8">
      <c r="A42" s="8"/>
      <c r="B42" s="8"/>
      <c r="C42" s="9" t="s">
        <v>47</v>
      </c>
      <c r="D42" s="9" t="s">
        <v>10</v>
      </c>
      <c r="E42" s="13">
        <f t="shared" si="8"/>
        <v>376.37382947368417</v>
      </c>
      <c r="F42" s="14">
        <v>357.55513799999994</v>
      </c>
      <c r="G42" s="20">
        <f t="shared" si="1"/>
        <v>357.55513799999994</v>
      </c>
      <c r="H42" s="21">
        <v>3392.2043184000004</v>
      </c>
    </row>
    <row r="43" spans="1:8">
      <c r="A43" s="8"/>
      <c r="B43" s="8"/>
      <c r="C43" s="9" t="s">
        <v>71</v>
      </c>
      <c r="D43" s="9" t="s">
        <v>68</v>
      </c>
      <c r="E43" s="13">
        <f t="shared" si="8"/>
        <v>38.525291263157897</v>
      </c>
      <c r="F43" s="14">
        <v>36.599026700000003</v>
      </c>
      <c r="G43" s="20">
        <f t="shared" si="1"/>
        <v>36.599026700000003</v>
      </c>
      <c r="H43" s="21">
        <v>58.530026700000001</v>
      </c>
    </row>
    <row r="44" spans="1:8">
      <c r="A44" s="10"/>
      <c r="B44" s="10"/>
      <c r="C44" s="10" t="s">
        <v>48</v>
      </c>
      <c r="D44" s="10" t="s">
        <v>49</v>
      </c>
      <c r="E44" s="12">
        <f t="shared" ref="E44:G44" si="9">SUM(E39:E43)</f>
        <v>2646.2717922631573</v>
      </c>
      <c r="F44" s="12">
        <f t="shared" si="9"/>
        <v>2453.3380740999996</v>
      </c>
      <c r="G44" s="22">
        <f t="shared" si="9"/>
        <v>2453.3380740999996</v>
      </c>
      <c r="H44" s="23">
        <f>13642.1929315-148</f>
        <v>13494.1929315</v>
      </c>
    </row>
    <row r="45" spans="1:8">
      <c r="A45" s="24"/>
      <c r="B45" s="25"/>
      <c r="C45" s="25"/>
      <c r="D45" s="25"/>
      <c r="E45" s="25"/>
      <c r="F45" s="25"/>
      <c r="G45" s="25"/>
      <c r="H45" s="21"/>
    </row>
    <row r="46" spans="1:8">
      <c r="A46" s="8" t="s">
        <v>34</v>
      </c>
      <c r="B46" s="8" t="s">
        <v>14</v>
      </c>
      <c r="C46" s="9" t="s">
        <v>44</v>
      </c>
      <c r="D46" s="9" t="s">
        <v>7</v>
      </c>
      <c r="E46" s="13">
        <f t="shared" ref="E46:E50" si="10">+F46/0.95</f>
        <v>0</v>
      </c>
      <c r="F46" s="14">
        <v>0</v>
      </c>
      <c r="G46" s="20">
        <f t="shared" si="1"/>
        <v>0</v>
      </c>
      <c r="H46" s="21">
        <v>474.10794000000004</v>
      </c>
    </row>
    <row r="47" spans="1:8">
      <c r="A47" s="10"/>
      <c r="B47" s="8"/>
      <c r="C47" s="9" t="s">
        <v>45</v>
      </c>
      <c r="D47" s="9" t="s">
        <v>8</v>
      </c>
      <c r="E47" s="13">
        <f t="shared" si="10"/>
        <v>39.783789473684223</v>
      </c>
      <c r="F47" s="14">
        <v>37.79460000000001</v>
      </c>
      <c r="G47" s="20">
        <f t="shared" si="1"/>
        <v>37.79460000000001</v>
      </c>
      <c r="H47" s="21">
        <f>914.82179+300</f>
        <v>1214.82179</v>
      </c>
    </row>
    <row r="48" spans="1:8">
      <c r="A48" s="8"/>
      <c r="B48" s="8"/>
      <c r="C48" s="9" t="s">
        <v>46</v>
      </c>
      <c r="D48" s="9" t="s">
        <v>9</v>
      </c>
      <c r="E48" s="13">
        <f t="shared" si="10"/>
        <v>1.0144210526315789</v>
      </c>
      <c r="F48" s="14">
        <v>0.9637</v>
      </c>
      <c r="G48" s="20">
        <f t="shared" si="1"/>
        <v>0.9637</v>
      </c>
      <c r="H48" s="21">
        <v>261.69687499999998</v>
      </c>
    </row>
    <row r="49" spans="1:8">
      <c r="A49" s="10"/>
      <c r="B49" s="8"/>
      <c r="C49" s="9" t="s">
        <v>47</v>
      </c>
      <c r="D49" s="9" t="s">
        <v>10</v>
      </c>
      <c r="E49" s="13">
        <f t="shared" si="10"/>
        <v>15.842105263157896</v>
      </c>
      <c r="F49" s="14">
        <v>15.05</v>
      </c>
      <c r="G49" s="20">
        <f t="shared" si="1"/>
        <v>15.05</v>
      </c>
      <c r="H49" s="21">
        <f>600.18995+55</f>
        <v>655.18994999999995</v>
      </c>
    </row>
    <row r="50" spans="1:8">
      <c r="A50" s="10"/>
      <c r="B50" s="8"/>
      <c r="C50" s="9" t="s">
        <v>71</v>
      </c>
      <c r="D50" s="9" t="s">
        <v>68</v>
      </c>
      <c r="E50" s="13">
        <f t="shared" si="10"/>
        <v>0</v>
      </c>
      <c r="F50" s="14">
        <v>0</v>
      </c>
      <c r="G50" s="20">
        <f t="shared" si="1"/>
        <v>0</v>
      </c>
      <c r="H50" s="21">
        <v>6.1966000000000001</v>
      </c>
    </row>
    <row r="51" spans="1:8">
      <c r="A51" s="10"/>
      <c r="B51" s="10"/>
      <c r="C51" s="10" t="s">
        <v>48</v>
      </c>
      <c r="D51" s="10" t="s">
        <v>49</v>
      </c>
      <c r="E51" s="12">
        <f t="shared" ref="E51:G51" si="11">SUM(E46:E50)</f>
        <v>56.640315789473696</v>
      </c>
      <c r="F51" s="12">
        <f t="shared" si="11"/>
        <v>53.808300000000017</v>
      </c>
      <c r="G51" s="22">
        <f t="shared" si="11"/>
        <v>53.808300000000017</v>
      </c>
      <c r="H51" s="23">
        <f>2257.013155+355</f>
        <v>2612.0131550000001</v>
      </c>
    </row>
    <row r="52" spans="1:8">
      <c r="A52" s="24"/>
      <c r="B52" s="25"/>
      <c r="C52" s="25"/>
      <c r="D52" s="25"/>
      <c r="E52" s="25"/>
      <c r="F52" s="25"/>
      <c r="G52" s="25"/>
      <c r="H52" s="21"/>
    </row>
    <row r="53" spans="1:8">
      <c r="A53" s="8" t="s">
        <v>35</v>
      </c>
      <c r="B53" s="8" t="s">
        <v>15</v>
      </c>
      <c r="C53" s="9" t="s">
        <v>44</v>
      </c>
      <c r="D53" s="9" t="s">
        <v>7</v>
      </c>
      <c r="E53" s="13">
        <v>109</v>
      </c>
      <c r="F53" s="14">
        <v>80.173734560000014</v>
      </c>
      <c r="G53" s="20">
        <f t="shared" si="1"/>
        <v>80.173734560000014</v>
      </c>
      <c r="H53" s="21">
        <v>8582.6002425599982</v>
      </c>
    </row>
    <row r="54" spans="1:8">
      <c r="A54" s="10"/>
      <c r="B54" s="8"/>
      <c r="C54" s="9" t="s">
        <v>45</v>
      </c>
      <c r="D54" s="9" t="s">
        <v>8</v>
      </c>
      <c r="E54" s="13">
        <f t="shared" ref="E54:E57" si="12">+F54/0.9</f>
        <v>827.75144444444481</v>
      </c>
      <c r="F54" s="14">
        <v>744.97630000000038</v>
      </c>
      <c r="G54" s="20">
        <f t="shared" si="1"/>
        <v>744.97630000000038</v>
      </c>
      <c r="H54" s="21">
        <v>6572.7147699999996</v>
      </c>
    </row>
    <row r="55" spans="1:8">
      <c r="A55" s="8"/>
      <c r="B55" s="8"/>
      <c r="C55" s="9" t="s">
        <v>46</v>
      </c>
      <c r="D55" s="9" t="s">
        <v>9</v>
      </c>
      <c r="E55" s="13">
        <f t="shared" si="12"/>
        <v>1355.7339684444444</v>
      </c>
      <c r="F55" s="14">
        <v>1220.1605715999999</v>
      </c>
      <c r="G55" s="20">
        <f t="shared" si="1"/>
        <v>1220.1605715999999</v>
      </c>
      <c r="H55" s="21">
        <v>9140.5156936000003</v>
      </c>
    </row>
    <row r="56" spans="1:8">
      <c r="A56" s="10"/>
      <c r="B56" s="8"/>
      <c r="C56" s="9" t="s">
        <v>47</v>
      </c>
      <c r="D56" s="9" t="s">
        <v>10</v>
      </c>
      <c r="E56" s="13">
        <f t="shared" si="12"/>
        <v>1403.8144843333325</v>
      </c>
      <c r="F56" s="14">
        <v>1263.4330358999994</v>
      </c>
      <c r="G56" s="20">
        <f t="shared" si="1"/>
        <v>1263.4330358999994</v>
      </c>
      <c r="H56" s="21">
        <f>12346.7392219+139</f>
        <v>12485.739221899999</v>
      </c>
    </row>
    <row r="57" spans="1:8">
      <c r="A57" s="10"/>
      <c r="B57" s="8"/>
      <c r="C57" s="9" t="s">
        <v>71</v>
      </c>
      <c r="D57" s="9" t="s">
        <v>68</v>
      </c>
      <c r="E57" s="13">
        <f t="shared" si="12"/>
        <v>3.1111111111111107</v>
      </c>
      <c r="F57" s="14">
        <v>2.8</v>
      </c>
      <c r="G57" s="20">
        <f t="shared" si="1"/>
        <v>2.8</v>
      </c>
      <c r="H57" s="21">
        <v>123.467</v>
      </c>
    </row>
    <row r="58" spans="1:8">
      <c r="A58" s="10"/>
      <c r="B58" s="10"/>
      <c r="C58" s="10" t="s">
        <v>48</v>
      </c>
      <c r="D58" s="10" t="s">
        <v>49</v>
      </c>
      <c r="E58" s="12">
        <f t="shared" ref="E58:G58" si="13">SUM(E53:E57)</f>
        <v>3699.411008333333</v>
      </c>
      <c r="F58" s="12">
        <f t="shared" si="13"/>
        <v>3311.5436420599999</v>
      </c>
      <c r="G58" s="22">
        <f t="shared" si="13"/>
        <v>3311.5436420599999</v>
      </c>
      <c r="H58" s="23">
        <f>36766.0369280599+139</f>
        <v>36905.036928059897</v>
      </c>
    </row>
    <row r="59" spans="1:8">
      <c r="A59" s="24"/>
      <c r="B59" s="25"/>
      <c r="C59" s="25"/>
      <c r="D59" s="25"/>
      <c r="E59" s="25"/>
      <c r="F59" s="25"/>
      <c r="G59" s="25"/>
      <c r="H59" s="21"/>
    </row>
    <row r="60" spans="1:8">
      <c r="A60" s="8" t="s">
        <v>56</v>
      </c>
      <c r="B60" s="8" t="s">
        <v>57</v>
      </c>
      <c r="C60" s="9" t="s">
        <v>44</v>
      </c>
      <c r="D60" s="9" t="s">
        <v>7</v>
      </c>
      <c r="E60" s="13">
        <f>F60/0.9</f>
        <v>12.007657000000002</v>
      </c>
      <c r="F60" s="14">
        <v>10.806891300000002</v>
      </c>
      <c r="G60" s="20">
        <f t="shared" si="1"/>
        <v>10.806891300000002</v>
      </c>
      <c r="H60" s="21">
        <v>297.58459130000006</v>
      </c>
    </row>
    <row r="61" spans="1:8">
      <c r="A61" s="8"/>
      <c r="B61" s="8"/>
      <c r="C61" s="9" t="s">
        <v>45</v>
      </c>
      <c r="D61" s="9" t="s">
        <v>8</v>
      </c>
      <c r="E61" s="13">
        <f t="shared" ref="E61:E64" si="14">F61/0.9</f>
        <v>371.07966666666664</v>
      </c>
      <c r="F61" s="14">
        <v>333.9717</v>
      </c>
      <c r="G61" s="20">
        <f t="shared" si="1"/>
        <v>333.9717</v>
      </c>
      <c r="H61" s="21">
        <v>3400.8784000000005</v>
      </c>
    </row>
    <row r="62" spans="1:8">
      <c r="A62" s="8"/>
      <c r="B62" s="8"/>
      <c r="C62" s="9" t="s">
        <v>46</v>
      </c>
      <c r="D62" s="9" t="s">
        <v>9</v>
      </c>
      <c r="E62" s="13">
        <f t="shared" si="14"/>
        <v>89.74982777777781</v>
      </c>
      <c r="F62" s="14">
        <v>80.774845000000028</v>
      </c>
      <c r="G62" s="20">
        <f t="shared" si="1"/>
        <v>80.774845000000028</v>
      </c>
      <c r="H62" s="21">
        <v>494.65626500000008</v>
      </c>
    </row>
    <row r="63" spans="1:8">
      <c r="A63" s="8"/>
      <c r="B63" s="8"/>
      <c r="C63" s="9" t="s">
        <v>47</v>
      </c>
      <c r="D63" s="9" t="s">
        <v>10</v>
      </c>
      <c r="E63" s="13">
        <f t="shared" si="14"/>
        <v>34.384772222222217</v>
      </c>
      <c r="F63" s="14">
        <v>30.946294999999999</v>
      </c>
      <c r="G63" s="20">
        <f t="shared" si="1"/>
        <v>30.946294999999999</v>
      </c>
      <c r="H63" s="21">
        <f>297.523035+12</f>
        <v>309.52303499999999</v>
      </c>
    </row>
    <row r="64" spans="1:8">
      <c r="A64" s="8"/>
      <c r="B64" s="8"/>
      <c r="C64" s="9" t="s">
        <v>71</v>
      </c>
      <c r="D64" s="9" t="s">
        <v>68</v>
      </c>
      <c r="E64" s="13">
        <f t="shared" si="14"/>
        <v>0</v>
      </c>
      <c r="F64" s="14">
        <v>0</v>
      </c>
      <c r="G64" s="20">
        <f t="shared" si="1"/>
        <v>0</v>
      </c>
      <c r="H64" s="21">
        <v>10.5969</v>
      </c>
    </row>
    <row r="65" spans="1:8">
      <c r="A65" s="10"/>
      <c r="B65" s="10"/>
      <c r="C65" s="10" t="s">
        <v>48</v>
      </c>
      <c r="D65" s="10" t="s">
        <v>49</v>
      </c>
      <c r="E65" s="12">
        <f t="shared" ref="E65:G65" si="15">SUM(E60:E64)</f>
        <v>507.22192366666667</v>
      </c>
      <c r="F65" s="12">
        <f t="shared" si="15"/>
        <v>456.49973130000006</v>
      </c>
      <c r="G65" s="22">
        <f t="shared" si="15"/>
        <v>456.49973130000006</v>
      </c>
      <c r="H65" s="23">
        <f>4501.2391913+12</f>
        <v>4513.2391913000001</v>
      </c>
    </row>
    <row r="66" spans="1:8">
      <c r="A66" s="24"/>
      <c r="B66" s="25"/>
      <c r="C66" s="25"/>
      <c r="D66" s="25"/>
      <c r="E66" s="25"/>
      <c r="F66" s="25"/>
      <c r="G66" s="25"/>
      <c r="H66" s="21"/>
    </row>
    <row r="67" spans="1:8">
      <c r="A67" s="8" t="s">
        <v>36</v>
      </c>
      <c r="B67" s="8" t="s">
        <v>16</v>
      </c>
      <c r="C67" s="9" t="s">
        <v>44</v>
      </c>
      <c r="D67" s="9" t="s">
        <v>7</v>
      </c>
      <c r="E67" s="13">
        <f t="shared" ref="E67:E71" si="16">F67/0.95</f>
        <v>0.97106126315789465</v>
      </c>
      <c r="F67" s="14">
        <v>0.92250819999999989</v>
      </c>
      <c r="G67" s="20">
        <f t="shared" si="1"/>
        <v>0.92250819999999989</v>
      </c>
      <c r="H67" s="21">
        <v>154.9041082</v>
      </c>
    </row>
    <row r="68" spans="1:8">
      <c r="A68" s="10"/>
      <c r="B68" s="8"/>
      <c r="C68" s="9" t="s">
        <v>45</v>
      </c>
      <c r="D68" s="9" t="s">
        <v>8</v>
      </c>
      <c r="E68" s="13">
        <f t="shared" si="16"/>
        <v>327.65442105263162</v>
      </c>
      <c r="F68" s="14">
        <v>311.27170000000001</v>
      </c>
      <c r="G68" s="20">
        <f t="shared" si="1"/>
        <v>311.27170000000001</v>
      </c>
      <c r="H68" s="21">
        <f>551.40803+82</f>
        <v>633.40803000000005</v>
      </c>
    </row>
    <row r="69" spans="1:8">
      <c r="A69" s="8"/>
      <c r="B69" s="8"/>
      <c r="C69" s="9" t="s">
        <v>46</v>
      </c>
      <c r="D69" s="9" t="s">
        <v>9</v>
      </c>
      <c r="E69" s="13">
        <f t="shared" si="16"/>
        <v>16.790819578947371</v>
      </c>
      <c r="F69" s="14">
        <v>15.9512786</v>
      </c>
      <c r="G69" s="20">
        <f t="shared" si="1"/>
        <v>15.9512786</v>
      </c>
      <c r="H69" s="21">
        <v>32.0673186</v>
      </c>
    </row>
    <row r="70" spans="1:8">
      <c r="A70" s="10"/>
      <c r="B70" s="8"/>
      <c r="C70" s="9" t="s">
        <v>47</v>
      </c>
      <c r="D70" s="9" t="s">
        <v>10</v>
      </c>
      <c r="E70" s="13">
        <f t="shared" si="16"/>
        <v>8.1909508421052628</v>
      </c>
      <c r="F70" s="14">
        <v>7.7814032999999991</v>
      </c>
      <c r="G70" s="20">
        <f t="shared" si="1"/>
        <v>7.7814032999999991</v>
      </c>
      <c r="H70" s="21">
        <v>15.2511033</v>
      </c>
    </row>
    <row r="71" spans="1:8">
      <c r="A71" s="10"/>
      <c r="B71" s="8"/>
      <c r="C71" s="9" t="s">
        <v>71</v>
      </c>
      <c r="D71" s="9" t="s">
        <v>68</v>
      </c>
      <c r="E71" s="13">
        <f t="shared" si="16"/>
        <v>3.5707898947368424</v>
      </c>
      <c r="F71" s="14">
        <v>3.3922504</v>
      </c>
      <c r="G71" s="20">
        <f t="shared" si="1"/>
        <v>3.3922504</v>
      </c>
      <c r="H71" s="21">
        <v>3.8722504</v>
      </c>
    </row>
    <row r="72" spans="1:8">
      <c r="A72" s="10"/>
      <c r="B72" s="10"/>
      <c r="C72" s="10" t="s">
        <v>48</v>
      </c>
      <c r="D72" s="10" t="s">
        <v>49</v>
      </c>
      <c r="E72" s="12">
        <f t="shared" ref="E72:G72" si="17">SUM(E67:E71)</f>
        <v>357.17804263157899</v>
      </c>
      <c r="F72" s="12">
        <f t="shared" si="17"/>
        <v>339.31914050000006</v>
      </c>
      <c r="G72" s="22">
        <f t="shared" si="17"/>
        <v>339.31914050000006</v>
      </c>
      <c r="H72" s="23">
        <f>757.5028105-82</f>
        <v>675.50281050000001</v>
      </c>
    </row>
    <row r="73" spans="1:8">
      <c r="A73" s="24"/>
      <c r="B73" s="25"/>
      <c r="C73" s="25"/>
      <c r="D73" s="25"/>
      <c r="E73" s="25"/>
      <c r="F73" s="25"/>
      <c r="G73" s="25"/>
      <c r="H73" s="21"/>
    </row>
    <row r="74" spans="1:8">
      <c r="A74" s="8" t="s">
        <v>37</v>
      </c>
      <c r="B74" s="8" t="s">
        <v>17</v>
      </c>
      <c r="C74" s="9" t="s">
        <v>44</v>
      </c>
      <c r="D74" s="9" t="s">
        <v>7</v>
      </c>
      <c r="E74" s="13">
        <f>F74/0.9</f>
        <v>0</v>
      </c>
      <c r="F74" s="14">
        <v>0</v>
      </c>
      <c r="G74" s="20">
        <f t="shared" si="1"/>
        <v>0</v>
      </c>
      <c r="H74" s="21">
        <v>14.138589999999999</v>
      </c>
    </row>
    <row r="75" spans="1:8">
      <c r="A75" s="10"/>
      <c r="B75" s="8"/>
      <c r="C75" s="9" t="s">
        <v>45</v>
      </c>
      <c r="D75" s="9" t="s">
        <v>8</v>
      </c>
      <c r="E75" s="13">
        <f t="shared" ref="E75:E78" si="18">F75/0.9</f>
        <v>0</v>
      </c>
      <c r="F75" s="14">
        <v>0</v>
      </c>
      <c r="G75" s="20">
        <f t="shared" si="1"/>
        <v>0</v>
      </c>
      <c r="H75" s="21">
        <v>493.97765999999996</v>
      </c>
    </row>
    <row r="76" spans="1:8">
      <c r="A76" s="8"/>
      <c r="B76" s="8"/>
      <c r="C76" s="9" t="s">
        <v>46</v>
      </c>
      <c r="D76" s="9" t="s">
        <v>9</v>
      </c>
      <c r="E76" s="13">
        <f t="shared" si="18"/>
        <v>0.152</v>
      </c>
      <c r="F76" s="14">
        <v>0.1368</v>
      </c>
      <c r="G76" s="20">
        <f t="shared" ref="G76:G78" si="19">F76</f>
        <v>0.1368</v>
      </c>
      <c r="H76" s="21">
        <f>29.3692+123</f>
        <v>152.36920000000001</v>
      </c>
    </row>
    <row r="77" spans="1:8">
      <c r="A77" s="10"/>
      <c r="B77" s="8"/>
      <c r="C77" s="9" t="s">
        <v>47</v>
      </c>
      <c r="D77" s="9" t="s">
        <v>10</v>
      </c>
      <c r="E77" s="13">
        <f t="shared" si="18"/>
        <v>4.4444444444444447E-4</v>
      </c>
      <c r="F77" s="14">
        <v>4.0000000000000002E-4</v>
      </c>
      <c r="G77" s="20">
        <f t="shared" si="19"/>
        <v>4.0000000000000002E-4</v>
      </c>
      <c r="H77" s="21">
        <v>70.023291999999998</v>
      </c>
    </row>
    <row r="78" spans="1:8">
      <c r="A78" s="10"/>
      <c r="B78" s="8"/>
      <c r="C78" s="9" t="s">
        <v>71</v>
      </c>
      <c r="D78" s="9" t="s">
        <v>68</v>
      </c>
      <c r="E78" s="13">
        <f t="shared" si="18"/>
        <v>0</v>
      </c>
      <c r="F78" s="14">
        <v>0</v>
      </c>
      <c r="G78" s="20">
        <f t="shared" si="19"/>
        <v>0</v>
      </c>
      <c r="H78" s="21">
        <v>1.6665999999999999</v>
      </c>
    </row>
    <row r="79" spans="1:8">
      <c r="A79" s="10"/>
      <c r="B79" s="10"/>
      <c r="C79" s="10" t="s">
        <v>48</v>
      </c>
      <c r="D79" s="10" t="s">
        <v>49</v>
      </c>
      <c r="E79" s="12">
        <f t="shared" ref="E79:G79" si="20">SUM(E74:E78)</f>
        <v>0.15244444444444444</v>
      </c>
      <c r="F79" s="12">
        <f t="shared" si="20"/>
        <v>0.13720000000000002</v>
      </c>
      <c r="G79" s="22">
        <f t="shared" si="20"/>
        <v>0.13720000000000002</v>
      </c>
      <c r="H79" s="23">
        <f>609.175342+123</f>
        <v>732.175342</v>
      </c>
    </row>
    <row r="80" spans="1:8">
      <c r="A80" s="24"/>
      <c r="B80" s="25"/>
      <c r="C80" s="25"/>
      <c r="D80" s="25"/>
      <c r="E80" s="25"/>
      <c r="F80" s="25"/>
      <c r="G80" s="25"/>
      <c r="H80" s="21"/>
    </row>
    <row r="81" spans="1:8">
      <c r="A81" s="8" t="s">
        <v>38</v>
      </c>
      <c r="B81" s="8" t="s">
        <v>18</v>
      </c>
      <c r="C81" s="9" t="s">
        <v>44</v>
      </c>
      <c r="D81" s="9" t="s">
        <v>7</v>
      </c>
      <c r="E81" s="13">
        <f>F81/0.9</f>
        <v>374.88516133333343</v>
      </c>
      <c r="F81" s="14">
        <v>337.39664520000008</v>
      </c>
      <c r="G81" s="20">
        <f t="shared" ref="G81:G85" si="21">F81</f>
        <v>337.39664520000008</v>
      </c>
      <c r="H81" s="21">
        <f>14886.3766312-8661</f>
        <v>6225.3766312000007</v>
      </c>
    </row>
    <row r="82" spans="1:8">
      <c r="A82" s="10"/>
      <c r="B82" s="8"/>
      <c r="C82" s="9" t="s">
        <v>45</v>
      </c>
      <c r="D82" s="9" t="s">
        <v>8</v>
      </c>
      <c r="E82" s="13">
        <v>39181</v>
      </c>
      <c r="F82" s="14">
        <v>35200.526090000079</v>
      </c>
      <c r="G82" s="20">
        <f t="shared" si="21"/>
        <v>35200.526090000079</v>
      </c>
      <c r="H82" s="21">
        <f>186856.58047-8661</f>
        <v>178195.58046999999</v>
      </c>
    </row>
    <row r="83" spans="1:8">
      <c r="A83" s="8"/>
      <c r="B83" s="8"/>
      <c r="C83" s="9" t="s">
        <v>46</v>
      </c>
      <c r="D83" s="10" t="s">
        <v>9</v>
      </c>
      <c r="E83" s="13">
        <f t="shared" ref="E83" si="22">F83/0.9</f>
        <v>1697.2706989999981</v>
      </c>
      <c r="F83" s="14">
        <v>1527.5436290999983</v>
      </c>
      <c r="G83" s="20">
        <f t="shared" si="21"/>
        <v>1527.5436290999983</v>
      </c>
      <c r="H83" s="21">
        <f>13092.7758579-8661</f>
        <v>4431.7758579000001</v>
      </c>
    </row>
    <row r="84" spans="1:8">
      <c r="A84" s="10"/>
      <c r="B84" s="8"/>
      <c r="C84" s="9" t="s">
        <v>47</v>
      </c>
      <c r="D84" s="9" t="s">
        <v>10</v>
      </c>
      <c r="E84" s="13">
        <v>1467</v>
      </c>
      <c r="F84" s="14">
        <v>1313.3816570999995</v>
      </c>
      <c r="G84" s="20">
        <f t="shared" si="21"/>
        <v>1313.3816570999995</v>
      </c>
      <c r="H84" s="21">
        <f>18445.1514845-8661</f>
        <v>9784.1514844999983</v>
      </c>
    </row>
    <row r="85" spans="1:8">
      <c r="A85" s="10"/>
      <c r="B85" s="8"/>
      <c r="C85" s="9" t="s">
        <v>71</v>
      </c>
      <c r="D85" s="9" t="s">
        <v>68</v>
      </c>
      <c r="E85" s="13">
        <v>3956</v>
      </c>
      <c r="F85" s="14">
        <v>3437.4094407999996</v>
      </c>
      <c r="G85" s="20">
        <f t="shared" si="21"/>
        <v>3437.4094407999996</v>
      </c>
      <c r="H85" s="21">
        <f>22994.7156408-8661</f>
        <v>14333.715640800001</v>
      </c>
    </row>
    <row r="86" spans="1:8">
      <c r="A86" s="10"/>
      <c r="B86" s="10"/>
      <c r="C86" s="10" t="s">
        <v>48</v>
      </c>
      <c r="D86" s="10" t="s">
        <v>49</v>
      </c>
      <c r="E86" s="12">
        <f t="shared" ref="E86:G86" si="23">SUM(E81:E85)</f>
        <v>46676.155860333332</v>
      </c>
      <c r="F86" s="12">
        <f t="shared" si="23"/>
        <v>41816.257462200083</v>
      </c>
      <c r="G86" s="22">
        <f t="shared" si="23"/>
        <v>41816.257462200083</v>
      </c>
      <c r="H86" s="23">
        <f>256275.6000844-43306</f>
        <v>212969.60008440001</v>
      </c>
    </row>
    <row r="87" spans="1:8">
      <c r="A87" s="24"/>
      <c r="B87" s="25"/>
      <c r="C87" s="25"/>
      <c r="D87" s="25"/>
      <c r="E87" s="25"/>
      <c r="F87" s="25"/>
      <c r="G87" s="25"/>
      <c r="H87" s="21"/>
    </row>
    <row r="88" spans="1:8">
      <c r="A88" s="8" t="s">
        <v>39</v>
      </c>
      <c r="B88" s="8" t="s">
        <v>19</v>
      </c>
      <c r="C88" s="9" t="s">
        <v>44</v>
      </c>
      <c r="D88" s="9" t="s">
        <v>7</v>
      </c>
      <c r="E88" s="13">
        <v>0</v>
      </c>
      <c r="F88" s="14">
        <v>0</v>
      </c>
      <c r="G88" s="20">
        <f t="shared" ref="G88:G92" si="24">F88</f>
        <v>0</v>
      </c>
      <c r="H88" s="21">
        <v>0.01</v>
      </c>
    </row>
    <row r="89" spans="1:8">
      <c r="A89" s="10"/>
      <c r="B89" s="8"/>
      <c r="C89" s="9" t="s">
        <v>45</v>
      </c>
      <c r="D89" s="9" t="s">
        <v>8</v>
      </c>
      <c r="E89" s="13">
        <v>0</v>
      </c>
      <c r="F89" s="14">
        <v>0</v>
      </c>
      <c r="G89" s="20">
        <f t="shared" si="24"/>
        <v>0</v>
      </c>
      <c r="H89" s="21">
        <v>32.56</v>
      </c>
    </row>
    <row r="90" spans="1:8">
      <c r="A90" s="10"/>
      <c r="B90" s="8"/>
      <c r="C90" s="9" t="s">
        <v>46</v>
      </c>
      <c r="D90" s="9" t="s">
        <v>9</v>
      </c>
      <c r="E90" s="13">
        <v>0</v>
      </c>
      <c r="F90" s="14">
        <v>0</v>
      </c>
      <c r="G90" s="20">
        <f t="shared" si="24"/>
        <v>0</v>
      </c>
      <c r="H90" s="21">
        <v>0</v>
      </c>
    </row>
    <row r="91" spans="1:8">
      <c r="A91" s="10"/>
      <c r="B91" s="8"/>
      <c r="C91" s="9" t="s">
        <v>47</v>
      </c>
      <c r="D91" s="9" t="s">
        <v>10</v>
      </c>
      <c r="E91" s="13">
        <v>0</v>
      </c>
      <c r="F91" s="14">
        <v>0</v>
      </c>
      <c r="G91" s="20">
        <f t="shared" si="24"/>
        <v>0</v>
      </c>
      <c r="H91" s="21">
        <v>0</v>
      </c>
    </row>
    <row r="92" spans="1:8">
      <c r="A92" s="10"/>
      <c r="B92" s="8"/>
      <c r="C92" s="9" t="s">
        <v>71</v>
      </c>
      <c r="D92" s="9" t="s">
        <v>68</v>
      </c>
      <c r="E92" s="13">
        <v>0</v>
      </c>
      <c r="F92" s="14">
        <v>0</v>
      </c>
      <c r="G92" s="20">
        <f t="shared" si="24"/>
        <v>0</v>
      </c>
      <c r="H92" s="21">
        <v>0.25</v>
      </c>
    </row>
    <row r="93" spans="1:8">
      <c r="A93" s="10"/>
      <c r="B93" s="10"/>
      <c r="C93" s="10" t="s">
        <v>48</v>
      </c>
      <c r="D93" s="10" t="s">
        <v>49</v>
      </c>
      <c r="E93" s="12">
        <f t="shared" ref="E93:G93" si="25">SUM(E88:E92)</f>
        <v>0</v>
      </c>
      <c r="F93" s="12">
        <f t="shared" si="25"/>
        <v>0</v>
      </c>
      <c r="G93" s="22">
        <f t="shared" si="25"/>
        <v>0</v>
      </c>
      <c r="H93" s="23">
        <v>32.82</v>
      </c>
    </row>
    <row r="94" spans="1:8">
      <c r="A94" s="24"/>
      <c r="B94" s="25"/>
      <c r="C94" s="25"/>
      <c r="D94" s="25"/>
      <c r="E94" s="25"/>
      <c r="F94" s="25"/>
      <c r="G94" s="25"/>
      <c r="H94" s="21"/>
    </row>
    <row r="95" spans="1:8">
      <c r="A95" s="8" t="s">
        <v>40</v>
      </c>
      <c r="B95" s="8" t="s">
        <v>20</v>
      </c>
      <c r="C95" s="9" t="s">
        <v>44</v>
      </c>
      <c r="D95" s="9" t="s">
        <v>7</v>
      </c>
      <c r="E95" s="13">
        <f>F95/0.9</f>
        <v>31.211686111111113</v>
      </c>
      <c r="F95" s="14">
        <v>28.090517500000004</v>
      </c>
      <c r="G95" s="20">
        <f t="shared" ref="G95:G99" si="26">F95</f>
        <v>28.090517500000004</v>
      </c>
      <c r="H95" s="21">
        <v>37.248617500000002</v>
      </c>
    </row>
    <row r="96" spans="1:8">
      <c r="A96" s="10"/>
      <c r="B96" s="8"/>
      <c r="C96" s="9" t="s">
        <v>45</v>
      </c>
      <c r="D96" s="9" t="s">
        <v>8</v>
      </c>
      <c r="E96" s="13">
        <v>18200</v>
      </c>
      <c r="F96" s="14">
        <v>16774.98080999999</v>
      </c>
      <c r="G96" s="20">
        <f t="shared" si="26"/>
        <v>16774.98080999999</v>
      </c>
      <c r="H96" s="21">
        <v>46440.295429999984</v>
      </c>
    </row>
    <row r="97" spans="1:8">
      <c r="A97" s="10"/>
      <c r="B97" s="8"/>
      <c r="C97" s="9" t="s">
        <v>46</v>
      </c>
      <c r="D97" s="9" t="s">
        <v>9</v>
      </c>
      <c r="E97" s="13">
        <v>1801</v>
      </c>
      <c r="F97" s="14">
        <v>1520.3584267000001</v>
      </c>
      <c r="G97" s="20">
        <f t="shared" si="26"/>
        <v>1520.3584267000001</v>
      </c>
      <c r="H97" s="21">
        <v>7560.1953167000011</v>
      </c>
    </row>
    <row r="98" spans="1:8">
      <c r="A98" s="10"/>
      <c r="B98" s="8"/>
      <c r="C98" s="9" t="s">
        <v>47</v>
      </c>
      <c r="D98" s="9" t="s">
        <v>10</v>
      </c>
      <c r="E98" s="13">
        <v>7701</v>
      </c>
      <c r="F98" s="14">
        <v>6936.5536337999993</v>
      </c>
      <c r="G98" s="20">
        <f t="shared" si="26"/>
        <v>6936.5536337999993</v>
      </c>
      <c r="H98" s="21">
        <f>39947.1501086-883</f>
        <v>39064.150108599999</v>
      </c>
    </row>
    <row r="99" spans="1:8">
      <c r="A99" s="10"/>
      <c r="B99" s="8"/>
      <c r="C99" s="9" t="s">
        <v>71</v>
      </c>
      <c r="D99" s="9" t="s">
        <v>68</v>
      </c>
      <c r="E99" s="13">
        <v>3850</v>
      </c>
      <c r="F99" s="14">
        <v>3552.3840999999998</v>
      </c>
      <c r="G99" s="20">
        <f t="shared" si="26"/>
        <v>3552.3840999999998</v>
      </c>
      <c r="H99" s="21">
        <v>21999.120793999999</v>
      </c>
    </row>
    <row r="100" spans="1:8">
      <c r="A100" s="10"/>
      <c r="B100" s="10"/>
      <c r="C100" s="10" t="s">
        <v>48</v>
      </c>
      <c r="D100" s="10" t="s">
        <v>49</v>
      </c>
      <c r="E100" s="12">
        <f t="shared" ref="E100:G100" si="27">SUM(E95:E99)</f>
        <v>31583.21168611111</v>
      </c>
      <c r="F100" s="12">
        <f t="shared" si="27"/>
        <v>28812.367487999989</v>
      </c>
      <c r="G100" s="22">
        <f t="shared" si="27"/>
        <v>28812.367487999989</v>
      </c>
      <c r="H100" s="23">
        <f>115984.0102668-883</f>
        <v>115101.0102668</v>
      </c>
    </row>
    <row r="101" spans="1:8">
      <c r="A101" s="24"/>
      <c r="B101" s="25"/>
      <c r="C101" s="25"/>
      <c r="D101" s="25"/>
      <c r="E101" s="25"/>
      <c r="F101" s="25"/>
      <c r="G101" s="25"/>
      <c r="H101" s="21"/>
    </row>
    <row r="102" spans="1:8">
      <c r="A102" s="8" t="s">
        <v>58</v>
      </c>
      <c r="B102" s="8" t="s">
        <v>21</v>
      </c>
      <c r="C102" s="9" t="s">
        <v>44</v>
      </c>
      <c r="D102" s="9" t="s">
        <v>7</v>
      </c>
      <c r="E102" s="13">
        <v>0</v>
      </c>
      <c r="F102" s="14">
        <v>0</v>
      </c>
      <c r="G102" s="20">
        <f t="shared" ref="G102:G106" si="28">F102</f>
        <v>0</v>
      </c>
      <c r="H102" s="21">
        <v>15.73</v>
      </c>
    </row>
    <row r="103" spans="1:8">
      <c r="A103" s="10"/>
      <c r="B103" s="8"/>
      <c r="C103" s="9" t="s">
        <v>45</v>
      </c>
      <c r="D103" s="9" t="s">
        <v>8</v>
      </c>
      <c r="E103" s="13">
        <v>0</v>
      </c>
      <c r="F103" s="14">
        <v>0</v>
      </c>
      <c r="G103" s="20">
        <f t="shared" si="28"/>
        <v>0</v>
      </c>
      <c r="H103" s="21">
        <v>484.86</v>
      </c>
    </row>
    <row r="104" spans="1:8">
      <c r="A104" s="10"/>
      <c r="B104" s="8"/>
      <c r="C104" s="9" t="s">
        <v>46</v>
      </c>
      <c r="D104" s="9" t="s">
        <v>9</v>
      </c>
      <c r="E104" s="13">
        <v>0</v>
      </c>
      <c r="F104" s="14">
        <v>0</v>
      </c>
      <c r="G104" s="20">
        <f t="shared" si="28"/>
        <v>0</v>
      </c>
      <c r="H104" s="21">
        <f>72.24+123</f>
        <v>195.24</v>
      </c>
    </row>
    <row r="105" spans="1:8">
      <c r="A105" s="10"/>
      <c r="B105" s="8"/>
      <c r="C105" s="9" t="s">
        <v>47</v>
      </c>
      <c r="D105" s="9" t="s">
        <v>10</v>
      </c>
      <c r="E105" s="13">
        <v>0</v>
      </c>
      <c r="F105" s="14">
        <v>0</v>
      </c>
      <c r="G105" s="20">
        <f t="shared" si="28"/>
        <v>0</v>
      </c>
      <c r="H105" s="21">
        <v>585.94200000000001</v>
      </c>
    </row>
    <row r="106" spans="1:8">
      <c r="A106" s="10"/>
      <c r="B106" s="8"/>
      <c r="C106" s="9" t="s">
        <v>71</v>
      </c>
      <c r="D106" s="9" t="s">
        <v>68</v>
      </c>
      <c r="E106" s="13">
        <v>0</v>
      </c>
      <c r="F106" s="14">
        <v>0</v>
      </c>
      <c r="G106" s="20">
        <f t="shared" si="28"/>
        <v>0</v>
      </c>
      <c r="H106" s="21">
        <v>0</v>
      </c>
    </row>
    <row r="107" spans="1:8">
      <c r="A107" s="10"/>
      <c r="B107" s="10"/>
      <c r="C107" s="10" t="s">
        <v>48</v>
      </c>
      <c r="D107" s="10" t="s">
        <v>49</v>
      </c>
      <c r="E107" s="12">
        <f t="shared" ref="E107:G107" si="29">SUM(E101:E106)</f>
        <v>0</v>
      </c>
      <c r="F107" s="12">
        <f t="shared" si="29"/>
        <v>0</v>
      </c>
      <c r="G107" s="22">
        <f t="shared" si="29"/>
        <v>0</v>
      </c>
      <c r="H107" s="23">
        <f>1158.772+123</f>
        <v>1281.7719999999999</v>
      </c>
    </row>
    <row r="108" spans="1:8">
      <c r="A108" s="24"/>
      <c r="B108" s="25"/>
      <c r="C108" s="25"/>
      <c r="D108" s="25"/>
      <c r="E108" s="25"/>
      <c r="F108" s="25"/>
      <c r="G108" s="25"/>
      <c r="H108" s="21"/>
    </row>
    <row r="109" spans="1:8">
      <c r="A109" s="8" t="s">
        <v>59</v>
      </c>
      <c r="B109" s="8" t="s">
        <v>22</v>
      </c>
      <c r="C109" s="9" t="s">
        <v>44</v>
      </c>
      <c r="D109" s="9" t="s">
        <v>7</v>
      </c>
      <c r="E109" s="13">
        <v>0</v>
      </c>
      <c r="F109" s="14">
        <v>0</v>
      </c>
      <c r="G109" s="20">
        <f t="shared" ref="G109:G113" si="30">F109</f>
        <v>0</v>
      </c>
      <c r="H109" s="21">
        <v>270.64999999999998</v>
      </c>
    </row>
    <row r="110" spans="1:8">
      <c r="A110" s="10"/>
      <c r="B110" s="8"/>
      <c r="C110" s="9" t="s">
        <v>45</v>
      </c>
      <c r="D110" s="9" t="s">
        <v>8</v>
      </c>
      <c r="E110" s="13">
        <v>0</v>
      </c>
      <c r="F110" s="14">
        <v>0</v>
      </c>
      <c r="G110" s="20">
        <f t="shared" si="30"/>
        <v>0</v>
      </c>
      <c r="H110" s="21">
        <f>6583.24+35</f>
        <v>6618.24</v>
      </c>
    </row>
    <row r="111" spans="1:8">
      <c r="A111" s="8"/>
      <c r="B111" s="8"/>
      <c r="C111" s="9" t="s">
        <v>46</v>
      </c>
      <c r="D111" s="9" t="s">
        <v>9</v>
      </c>
      <c r="E111" s="13">
        <v>0</v>
      </c>
      <c r="F111" s="14">
        <v>0</v>
      </c>
      <c r="G111" s="20">
        <f t="shared" si="30"/>
        <v>0</v>
      </c>
      <c r="H111" s="21">
        <v>1235.93868</v>
      </c>
    </row>
    <row r="112" spans="1:8">
      <c r="A112" s="10"/>
      <c r="B112" s="8"/>
      <c r="C112" s="9" t="s">
        <v>47</v>
      </c>
      <c r="D112" s="9" t="s">
        <v>10</v>
      </c>
      <c r="E112" s="13">
        <v>0</v>
      </c>
      <c r="F112" s="14">
        <v>0</v>
      </c>
      <c r="G112" s="20">
        <f t="shared" si="30"/>
        <v>0</v>
      </c>
      <c r="H112" s="21">
        <v>5176.51</v>
      </c>
    </row>
    <row r="113" spans="1:8">
      <c r="A113" s="10"/>
      <c r="B113" s="8"/>
      <c r="C113" s="9" t="s">
        <v>71</v>
      </c>
      <c r="D113" s="9" t="s">
        <v>68</v>
      </c>
      <c r="E113" s="13">
        <v>0</v>
      </c>
      <c r="F113" s="14">
        <v>0</v>
      </c>
      <c r="G113" s="20">
        <f t="shared" si="30"/>
        <v>0</v>
      </c>
      <c r="H113" s="21">
        <v>0</v>
      </c>
    </row>
    <row r="114" spans="1:8">
      <c r="A114" s="10"/>
      <c r="B114" s="10"/>
      <c r="C114" s="10" t="s">
        <v>48</v>
      </c>
      <c r="D114" s="10" t="s">
        <v>49</v>
      </c>
      <c r="E114" s="12">
        <f t="shared" ref="E114:G114" si="31">SUM(E108:E113)</f>
        <v>0</v>
      </c>
      <c r="F114" s="12">
        <f t="shared" si="31"/>
        <v>0</v>
      </c>
      <c r="G114" s="22">
        <f t="shared" si="31"/>
        <v>0</v>
      </c>
      <c r="H114" s="23">
        <f>13266.33868+35</f>
        <v>13301.338680000001</v>
      </c>
    </row>
    <row r="115" spans="1:8">
      <c r="A115" s="24"/>
      <c r="B115" s="25"/>
      <c r="C115" s="25"/>
      <c r="D115" s="25"/>
      <c r="E115" s="25"/>
      <c r="F115" s="25"/>
      <c r="G115" s="25"/>
      <c r="H115" s="21"/>
    </row>
    <row r="116" spans="1:8">
      <c r="A116" s="8" t="s">
        <v>41</v>
      </c>
      <c r="B116" s="8" t="s">
        <v>23</v>
      </c>
      <c r="C116" s="9" t="s">
        <v>44</v>
      </c>
      <c r="D116" s="9" t="s">
        <v>7</v>
      </c>
      <c r="E116" s="13">
        <f>(F116/0.9)</f>
        <v>755.18006766666656</v>
      </c>
      <c r="F116" s="14">
        <v>679.66206089999991</v>
      </c>
      <c r="G116" s="20">
        <f t="shared" ref="G116:G121" si="32">F116</f>
        <v>679.66206089999991</v>
      </c>
      <c r="H116" s="21">
        <f>6787.1555659+8425</f>
        <v>15212.155565900001</v>
      </c>
    </row>
    <row r="117" spans="1:8">
      <c r="A117" s="10"/>
      <c r="B117" s="8"/>
      <c r="C117" s="9" t="s">
        <v>45</v>
      </c>
      <c r="D117" s="9" t="s">
        <v>8</v>
      </c>
      <c r="E117" s="13">
        <v>7855</v>
      </c>
      <c r="F117" s="14">
        <v>6770.1196999999984</v>
      </c>
      <c r="G117" s="20">
        <f t="shared" si="32"/>
        <v>6770.1196999999984</v>
      </c>
      <c r="H117" s="21">
        <f>35401.28607+8425</f>
        <v>43826.286070000002</v>
      </c>
    </row>
    <row r="118" spans="1:8">
      <c r="A118" s="8"/>
      <c r="B118" s="8"/>
      <c r="C118" s="9" t="s">
        <v>46</v>
      </c>
      <c r="D118" s="9" t="s">
        <v>9</v>
      </c>
      <c r="E118" s="13">
        <f t="shared" ref="E118:E121" si="33">F118/0.9</f>
        <v>974.43788355555535</v>
      </c>
      <c r="F118" s="14">
        <v>876.99409519999983</v>
      </c>
      <c r="G118" s="20">
        <f t="shared" si="32"/>
        <v>876.99409519999983</v>
      </c>
      <c r="H118" s="21">
        <f>7953.9963775+8425</f>
        <v>16378.9963775</v>
      </c>
    </row>
    <row r="119" spans="1:8">
      <c r="A119" s="10"/>
      <c r="B119" s="8"/>
      <c r="C119" s="9" t="s">
        <v>47</v>
      </c>
      <c r="D119" s="9" t="s">
        <v>10</v>
      </c>
      <c r="E119" s="13">
        <f t="shared" si="33"/>
        <v>469.28990499999992</v>
      </c>
      <c r="F119" s="14">
        <v>422.36091449999992</v>
      </c>
      <c r="G119" s="20">
        <f t="shared" si="32"/>
        <v>422.36091449999992</v>
      </c>
      <c r="H119" s="21">
        <f>12887.9209814+8425</f>
        <v>21312.920981399999</v>
      </c>
    </row>
    <row r="120" spans="1:8">
      <c r="A120" s="10"/>
      <c r="B120" s="8"/>
      <c r="C120" s="9" t="s">
        <v>71</v>
      </c>
      <c r="D120" s="9" t="s">
        <v>68</v>
      </c>
      <c r="E120" s="13">
        <f t="shared" si="33"/>
        <v>204.3701111111111</v>
      </c>
      <c r="F120" s="14">
        <v>183.9331</v>
      </c>
      <c r="G120" s="20">
        <f t="shared" si="32"/>
        <v>183.9331</v>
      </c>
      <c r="H120" s="21">
        <f>2495.843406+8425</f>
        <v>10920.843406</v>
      </c>
    </row>
    <row r="121" spans="1:8">
      <c r="A121" s="10"/>
      <c r="B121" s="8"/>
      <c r="C121" s="9"/>
      <c r="D121" s="9" t="s">
        <v>69</v>
      </c>
      <c r="E121" s="13">
        <f t="shared" si="33"/>
        <v>327.77777777777777</v>
      </c>
      <c r="F121" s="14">
        <v>295</v>
      </c>
      <c r="G121" s="20">
        <f t="shared" si="32"/>
        <v>295</v>
      </c>
      <c r="H121" s="21">
        <v>295</v>
      </c>
    </row>
    <row r="122" spans="1:8">
      <c r="A122" s="10"/>
      <c r="B122" s="10"/>
      <c r="C122" s="10" t="s">
        <v>48</v>
      </c>
      <c r="D122" s="10" t="s">
        <v>49</v>
      </c>
      <c r="E122" s="12">
        <f t="shared" ref="E122:G122" si="34">SUM(E116:E121)</f>
        <v>10586.055745111111</v>
      </c>
      <c r="F122" s="12">
        <f t="shared" si="34"/>
        <v>9228.0698705999985</v>
      </c>
      <c r="G122" s="22">
        <f t="shared" si="34"/>
        <v>9228.0698705999985</v>
      </c>
      <c r="H122" s="23">
        <f>65821.2024008+42126</f>
        <v>107947.2024008</v>
      </c>
    </row>
    <row r="123" spans="1:8">
      <c r="A123" s="24"/>
      <c r="B123" s="25"/>
      <c r="C123" s="25"/>
      <c r="D123" s="25"/>
      <c r="E123" s="25"/>
      <c r="F123" s="25"/>
      <c r="G123" s="25"/>
      <c r="H123" s="21"/>
    </row>
    <row r="124" spans="1:8">
      <c r="A124" s="8" t="s">
        <v>42</v>
      </c>
      <c r="B124" s="8" t="s">
        <v>51</v>
      </c>
      <c r="C124" s="9" t="s">
        <v>44</v>
      </c>
      <c r="D124" s="9" t="s">
        <v>7</v>
      </c>
      <c r="E124" s="13">
        <f>F124/0.9</f>
        <v>105.91536047222219</v>
      </c>
      <c r="F124" s="14">
        <v>95.32382442499997</v>
      </c>
      <c r="G124" s="20">
        <f t="shared" ref="G124:G128" si="35">F124</f>
        <v>95.32382442499997</v>
      </c>
      <c r="H124" s="21">
        <v>1292.2670744249999</v>
      </c>
    </row>
    <row r="125" spans="1:8">
      <c r="A125" s="10"/>
      <c r="B125" s="8"/>
      <c r="C125" s="9" t="s">
        <v>45</v>
      </c>
      <c r="D125" s="9" t="s">
        <v>8</v>
      </c>
      <c r="E125" s="13">
        <f t="shared" ref="E125:E127" si="36">F125/0.95</f>
        <v>462.82178947368425</v>
      </c>
      <c r="F125" s="14">
        <v>439.6807</v>
      </c>
      <c r="G125" s="20">
        <f t="shared" si="35"/>
        <v>439.6807</v>
      </c>
      <c r="H125" s="21">
        <v>1697.64365</v>
      </c>
    </row>
    <row r="126" spans="1:8">
      <c r="A126" s="8"/>
      <c r="B126" s="8"/>
      <c r="C126" s="9" t="s">
        <v>46</v>
      </c>
      <c r="D126" s="9" t="s">
        <v>9</v>
      </c>
      <c r="E126" s="13">
        <f t="shared" si="36"/>
        <v>1131.898334315789</v>
      </c>
      <c r="F126" s="14">
        <v>1075.3034175999996</v>
      </c>
      <c r="G126" s="20">
        <f t="shared" si="35"/>
        <v>1075.3034175999996</v>
      </c>
      <c r="H126" s="21">
        <v>2940.0378075999997</v>
      </c>
    </row>
    <row r="127" spans="1:8">
      <c r="A127" s="10"/>
      <c r="B127" s="8"/>
      <c r="C127" s="9" t="s">
        <v>47</v>
      </c>
      <c r="D127" s="9" t="s">
        <v>10</v>
      </c>
      <c r="E127" s="13">
        <f t="shared" si="36"/>
        <v>1328.3317118947375</v>
      </c>
      <c r="F127" s="14">
        <v>1261.9151263000006</v>
      </c>
      <c r="G127" s="20">
        <f t="shared" si="35"/>
        <v>1261.9151263000006</v>
      </c>
      <c r="H127" s="21">
        <f>4799.9082309-68</f>
        <v>4731.9082308999996</v>
      </c>
    </row>
    <row r="128" spans="1:8">
      <c r="A128" s="10"/>
      <c r="B128" s="8"/>
      <c r="C128" s="9" t="s">
        <v>71</v>
      </c>
      <c r="D128" s="9" t="s">
        <v>68</v>
      </c>
      <c r="E128" s="13">
        <v>120.8</v>
      </c>
      <c r="F128" s="14">
        <v>109.19083089999999</v>
      </c>
      <c r="G128" s="20">
        <f t="shared" si="35"/>
        <v>109.19083089999999</v>
      </c>
      <c r="H128" s="21">
        <f>171.5373309</f>
        <v>171.5373309</v>
      </c>
    </row>
    <row r="129" spans="1:8">
      <c r="A129" s="10"/>
      <c r="B129" s="10"/>
      <c r="C129" s="10" t="s">
        <v>48</v>
      </c>
      <c r="D129" s="10" t="s">
        <v>49</v>
      </c>
      <c r="E129" s="12">
        <f t="shared" ref="E129:G129" si="37">SUM(E123:E128)</f>
        <v>3149.7671961564333</v>
      </c>
      <c r="F129" s="12">
        <f t="shared" si="37"/>
        <v>2981.413899225</v>
      </c>
      <c r="G129" s="22">
        <f t="shared" si="37"/>
        <v>2981.413899225</v>
      </c>
      <c r="H129" s="23">
        <f>10901.394093825-68</f>
        <v>10833.394093825</v>
      </c>
    </row>
    <row r="130" spans="1:8" ht="17.25" customHeight="1">
      <c r="A130" s="10" t="s">
        <v>24</v>
      </c>
      <c r="B130" s="9" t="s">
        <v>24</v>
      </c>
      <c r="C130" s="9"/>
      <c r="D130" s="9"/>
      <c r="E130" s="12"/>
      <c r="F130" s="15"/>
      <c r="G130" s="26"/>
      <c r="H130" s="21"/>
    </row>
    <row r="131" spans="1:8">
      <c r="A131" s="11" t="s">
        <v>52</v>
      </c>
      <c r="B131" s="11" t="s">
        <v>53</v>
      </c>
      <c r="C131" s="9" t="s">
        <v>44</v>
      </c>
      <c r="D131" s="9" t="s">
        <v>7</v>
      </c>
      <c r="E131" s="13">
        <f>F131/0.9</f>
        <v>0</v>
      </c>
      <c r="F131" s="14">
        <v>0</v>
      </c>
      <c r="G131" s="20">
        <f t="shared" ref="G131:G135" si="38">F131</f>
        <v>0</v>
      </c>
      <c r="H131" s="21">
        <v>8.3826999999999998</v>
      </c>
    </row>
    <row r="132" spans="1:8">
      <c r="A132" s="10"/>
      <c r="B132" s="11"/>
      <c r="C132" s="9" t="s">
        <v>45</v>
      </c>
      <c r="D132" s="9" t="s">
        <v>8</v>
      </c>
      <c r="E132" s="13">
        <f t="shared" ref="E132" si="39">F132/0.95</f>
        <v>73.700210526315772</v>
      </c>
      <c r="F132" s="14">
        <v>70.015199999999979</v>
      </c>
      <c r="G132" s="20">
        <f t="shared" si="38"/>
        <v>70.015199999999979</v>
      </c>
      <c r="H132" s="21">
        <v>476.30540000000002</v>
      </c>
    </row>
    <row r="133" spans="1:8">
      <c r="A133" s="10"/>
      <c r="B133" s="11"/>
      <c r="C133" s="9" t="s">
        <v>46</v>
      </c>
      <c r="D133" s="9" t="s">
        <v>9</v>
      </c>
      <c r="E133" s="13">
        <v>55</v>
      </c>
      <c r="F133" s="14">
        <v>35.011177800000006</v>
      </c>
      <c r="G133" s="20">
        <f t="shared" si="38"/>
        <v>35.011177800000006</v>
      </c>
      <c r="H133" s="21">
        <f>122.8086678+105</f>
        <v>227.80866779999999</v>
      </c>
    </row>
    <row r="134" spans="1:8">
      <c r="A134" s="10"/>
      <c r="B134" s="11"/>
      <c r="C134" s="9" t="s">
        <v>47</v>
      </c>
      <c r="D134" s="9" t="s">
        <v>10</v>
      </c>
      <c r="E134" s="13">
        <v>10</v>
      </c>
      <c r="F134" s="14">
        <v>6.917745</v>
      </c>
      <c r="G134" s="20">
        <f t="shared" si="38"/>
        <v>6.917745</v>
      </c>
      <c r="H134" s="21">
        <v>90.241950000000003</v>
      </c>
    </row>
    <row r="135" spans="1:8">
      <c r="A135" s="10"/>
      <c r="B135" s="11"/>
      <c r="C135" s="9" t="s">
        <v>71</v>
      </c>
      <c r="D135" s="9" t="s">
        <v>68</v>
      </c>
      <c r="E135" s="13">
        <v>77.400000000000006</v>
      </c>
      <c r="F135" s="14">
        <v>73.462649999999996</v>
      </c>
      <c r="G135" s="20">
        <f t="shared" si="38"/>
        <v>73.462649999999996</v>
      </c>
      <c r="H135" s="21">
        <v>207.76805000000002</v>
      </c>
    </row>
    <row r="136" spans="1:8">
      <c r="A136" s="10"/>
      <c r="B136" s="10"/>
      <c r="C136" s="10" t="s">
        <v>48</v>
      </c>
      <c r="D136" s="10" t="s">
        <v>49</v>
      </c>
      <c r="E136" s="12">
        <f t="shared" ref="E136:G136" si="40">SUM(E130:E135)</f>
        <v>216.10021052631578</v>
      </c>
      <c r="F136" s="12">
        <f t="shared" si="40"/>
        <v>185.40677279999997</v>
      </c>
      <c r="G136" s="22">
        <f t="shared" si="40"/>
        <v>185.40677279999997</v>
      </c>
      <c r="H136" s="23">
        <f>905.5067678+105</f>
        <v>1010.5067678</v>
      </c>
    </row>
    <row r="137" spans="1:8">
      <c r="A137" s="24"/>
      <c r="B137" s="25"/>
      <c r="C137" s="25"/>
      <c r="D137" s="25"/>
      <c r="E137" s="25"/>
      <c r="F137" s="25"/>
      <c r="G137" s="25"/>
      <c r="H137" s="21"/>
    </row>
    <row r="138" spans="1:8">
      <c r="A138" s="8" t="s">
        <v>43</v>
      </c>
      <c r="B138" s="8" t="s">
        <v>25</v>
      </c>
      <c r="C138" s="10" t="s">
        <v>44</v>
      </c>
      <c r="D138" s="8" t="s">
        <v>7</v>
      </c>
      <c r="E138" s="13">
        <f t="shared" ref="E138:F142" si="41">+E131+E124+E116+E109+E102+E95+E88+E81+E74+E67+E60+E53+E46+E39+E32+E25+E18+E11</f>
        <v>2801.357159440644</v>
      </c>
      <c r="F138" s="13">
        <f t="shared" si="41"/>
        <v>2541.3194823850004</v>
      </c>
      <c r="G138" s="20">
        <f t="shared" ref="G138:G144" si="42">F138</f>
        <v>2541.3194823850004</v>
      </c>
      <c r="H138" s="21">
        <v>69960.09175838501</v>
      </c>
    </row>
    <row r="139" spans="1:8">
      <c r="A139" s="10"/>
      <c r="B139" s="10"/>
      <c r="C139" s="10" t="s">
        <v>45</v>
      </c>
      <c r="D139" s="8" t="s">
        <v>8</v>
      </c>
      <c r="E139" s="13">
        <f t="shared" si="41"/>
        <v>84337.886643274876</v>
      </c>
      <c r="F139" s="13">
        <f t="shared" si="41"/>
        <v>76736.270000000077</v>
      </c>
      <c r="G139" s="20">
        <f t="shared" si="42"/>
        <v>76736.270000000077</v>
      </c>
      <c r="H139" s="21">
        <v>377765.59845000005</v>
      </c>
    </row>
    <row r="140" spans="1:8">
      <c r="A140" s="8"/>
      <c r="B140" s="8"/>
      <c r="C140" s="10" t="s">
        <v>46</v>
      </c>
      <c r="D140" s="8" t="s">
        <v>9</v>
      </c>
      <c r="E140" s="13">
        <f t="shared" si="41"/>
        <v>12639.317918923971</v>
      </c>
      <c r="F140" s="13">
        <f t="shared" si="41"/>
        <v>11453.711741699997</v>
      </c>
      <c r="G140" s="20">
        <f t="shared" si="42"/>
        <v>11453.711741699997</v>
      </c>
      <c r="H140" s="21">
        <v>69292.746184099989</v>
      </c>
    </row>
    <row r="141" spans="1:8">
      <c r="A141" s="8"/>
      <c r="B141" s="8"/>
      <c r="C141" s="10" t="s">
        <v>47</v>
      </c>
      <c r="D141" s="8" t="s">
        <v>10</v>
      </c>
      <c r="E141" s="13">
        <f t="shared" si="41"/>
        <v>15826.832452625729</v>
      </c>
      <c r="F141" s="13">
        <f t="shared" si="41"/>
        <v>14389.376017099998</v>
      </c>
      <c r="G141" s="20">
        <f t="shared" si="42"/>
        <v>14389.376017099998</v>
      </c>
      <c r="H141" s="21">
        <v>126084.63677839999</v>
      </c>
    </row>
    <row r="142" spans="1:8">
      <c r="A142" s="8"/>
      <c r="B142" s="8"/>
      <c r="C142" s="10" t="s">
        <v>71</v>
      </c>
      <c r="D142" s="8" t="s">
        <v>68</v>
      </c>
      <c r="E142" s="13">
        <f t="shared" si="41"/>
        <v>11878.848386502925</v>
      </c>
      <c r="F142" s="13">
        <f t="shared" si="41"/>
        <v>10719.873</v>
      </c>
      <c r="G142" s="20">
        <f t="shared" si="42"/>
        <v>10719.873</v>
      </c>
      <c r="H142" s="21">
        <f>52257.1267+571</f>
        <v>52828.126700000001</v>
      </c>
    </row>
    <row r="143" spans="1:8">
      <c r="A143" s="8"/>
      <c r="B143" s="8"/>
      <c r="C143" s="10" t="s">
        <v>70</v>
      </c>
      <c r="D143" s="8" t="s">
        <v>69</v>
      </c>
      <c r="E143" s="13">
        <f>+F143/0.9</f>
        <v>327.77777777777777</v>
      </c>
      <c r="F143" s="13">
        <v>295</v>
      </c>
      <c r="G143" s="20">
        <f t="shared" si="42"/>
        <v>295</v>
      </c>
      <c r="H143" s="21">
        <v>295</v>
      </c>
    </row>
    <row r="144" spans="1:8">
      <c r="A144" s="8"/>
      <c r="B144" s="8"/>
      <c r="C144" s="10" t="s">
        <v>48</v>
      </c>
      <c r="D144" s="8" t="s">
        <v>49</v>
      </c>
      <c r="E144" s="12">
        <f>+E136+E129+E122+E114+E107+E100+E93+E86+E79+E72+E65+E58+E51+E44+E37+E30+E23+E16</f>
        <v>127812.02033854593</v>
      </c>
      <c r="F144" s="12">
        <f>+F136+F129+F122+F114+F107+F100+F93+F86+F79+F72+F65+F58+F51+F44+F37+F30+F23+F16</f>
        <v>116135.55024118509</v>
      </c>
      <c r="G144" s="22">
        <f t="shared" si="42"/>
        <v>116135.55024118509</v>
      </c>
      <c r="H144" s="23">
        <f>695655.199870885+571</f>
        <v>696226.199870885</v>
      </c>
    </row>
    <row r="145" spans="1:8">
      <c r="A145" s="27" t="str">
        <f>[1]A!$A$139</f>
        <v>जोड़ में यदि कोई अंतर है, तो वह पूर्णांकन के कारण है.</v>
      </c>
      <c r="B145" s="27"/>
      <c r="C145" s="27"/>
      <c r="D145" s="27"/>
      <c r="E145" s="27"/>
      <c r="F145" s="27"/>
      <c r="G145" s="27"/>
      <c r="H145" s="27"/>
    </row>
    <row r="146" spans="1:8">
      <c r="A146" s="28" t="s">
        <v>60</v>
      </c>
      <c r="B146" s="28"/>
      <c r="C146" s="28"/>
      <c r="D146" s="28"/>
      <c r="E146" s="28"/>
      <c r="F146" s="28"/>
      <c r="G146" s="28"/>
      <c r="H146" s="28"/>
    </row>
  </sheetData>
  <mergeCells count="14">
    <mergeCell ref="A6:H6"/>
    <mergeCell ref="A7:H7"/>
    <mergeCell ref="C10:D10"/>
    <mergeCell ref="A1:H1"/>
    <mergeCell ref="A2:H2"/>
    <mergeCell ref="A3:H3"/>
    <mergeCell ref="A4:H4"/>
    <mergeCell ref="A5:H5"/>
    <mergeCell ref="A145:H145"/>
    <mergeCell ref="A146:H146"/>
    <mergeCell ref="A8:B8"/>
    <mergeCell ref="A9:B9"/>
    <mergeCell ref="C8:D8"/>
    <mergeCell ref="C9:D9"/>
  </mergeCells>
  <pageMargins left="0.7" right="0.7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2022-09-13T09:03:45Z</dcterms:modified>
</cp:coreProperties>
</file>